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List3" sheetId="1" r:id="rId1"/>
  </sheets>
  <definedNames>
    <definedName name="_xlnm.Print_Area" localSheetId="0">#N/A</definedName>
    <definedName name="SHEET_TITLE" localSheetId="0">"List3"</definedName>
    <definedName name="_xlnm_Print_Area" localSheetId="0">"#""#ref!"""</definedName>
    <definedName name="_xlnm_Sheet_Title" localSheetId="0">"List3"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<sst xmlns="http://schemas.openxmlformats.org/spreadsheetml/2006/main" count="1964" uniqueCount="465">
  <si>
    <t>DF – Didaktika fyziky (prac. listy, pomůcky, IKT apod.)</t>
  </si>
  <si>
    <t>ŠP – Školní pokusy</t>
  </si>
  <si>
    <t>FJ – Fyzikální jevy a jejich aplikace</t>
  </si>
  <si>
    <t>HF – Historie fyziky</t>
  </si>
  <si>
    <t>EŽP – Energetika a životní prostředí</t>
  </si>
  <si>
    <t>Č.</t>
  </si>
  <si>
    <t>Rok</t>
  </si>
  <si>
    <t>Jméno autora</t>
  </si>
  <si>
    <t>Jméno vedoucího práce</t>
  </si>
  <si>
    <t>Typ</t>
  </si>
  <si>
    <t>Název práce</t>
  </si>
  <si>
    <t>Anotace</t>
  </si>
  <si>
    <t>Tematické okruhy</t>
  </si>
  <si>
    <t>verze</t>
  </si>
  <si>
    <t>Kde</t>
  </si>
  <si>
    <t>Beáta Mrázová</t>
  </si>
  <si>
    <t>Mgr. Jan Čech, Ph.D.</t>
  </si>
  <si>
    <t>Dip.</t>
  </si>
  <si>
    <t>Komplexní výukové metody ve fyzice</t>
  </si>
  <si>
    <t>DF</t>
  </si>
  <si>
    <t>online</t>
  </si>
  <si>
    <t>–</t>
  </si>
  <si>
    <t>Jakub Homola</t>
  </si>
  <si>
    <t>RNDr. Jindřiška Svobodová, Ph.D.</t>
  </si>
  <si>
    <t>Vzdělávací modul "Vesmír" pro základní školu</t>
  </si>
  <si>
    <t>FJ</t>
  </si>
  <si>
    <t>Daniel Jandora</t>
  </si>
  <si>
    <t>Bc.</t>
  </si>
  <si>
    <t>Možnosti využití Newtonových Principií pro výuku</t>
  </si>
  <si>
    <t>HF</t>
  </si>
  <si>
    <t>Anna Tomková</t>
  </si>
  <si>
    <t>Mgr. Lukáš Pawera</t>
  </si>
  <si>
    <t>Voda</t>
  </si>
  <si>
    <t>ŠP</t>
  </si>
  <si>
    <t>Adam Blahák</t>
  </si>
  <si>
    <t>Objevy a experimenty Nikoly Tesly</t>
  </si>
  <si>
    <t>Olga Grenarová</t>
  </si>
  <si>
    <t>Mgr. Tomáš Miléř, Ph.D.</t>
  </si>
  <si>
    <t>Záv.</t>
  </si>
  <si>
    <t>Pracovní listy z fyziky pro 1. ročník střední školy</t>
  </si>
  <si>
    <t>Hana Luptovcová</t>
  </si>
  <si>
    <t>Náčrtník pro učitele fyziky na ZŠ</t>
  </si>
  <si>
    <t>Růžička, Rostislav</t>
  </si>
  <si>
    <t>Interaktivní procvičování učiva fyziky pro 6. ročník ZŠ</t>
  </si>
  <si>
    <t>Fojtíková, Alžběta</t>
  </si>
  <si>
    <t>Hodesová, Barbora</t>
  </si>
  <si>
    <t>Holomková, Klára</t>
  </si>
  <si>
    <t>Knězek, Michal</t>
  </si>
  <si>
    <t>prof. RNDr. Jan Novotný, CSc.</t>
  </si>
  <si>
    <t>Magurová, Pavla</t>
  </si>
  <si>
    <t>PhDr. Mgr. Michaela Drexler</t>
  </si>
  <si>
    <t>Rousová, Pavla</t>
  </si>
  <si>
    <t>prof. RNDr. Vladislav Navrátil, CSc</t>
  </si>
  <si>
    <t>EŽP</t>
  </si>
  <si>
    <t>Špéra, Jakub</t>
  </si>
  <si>
    <t>Homola, Jakub</t>
  </si>
  <si>
    <t>Chloupková, Soňa</t>
  </si>
  <si>
    <t>Mrázová, Beáta</t>
  </si>
  <si>
    <t>Oujezdský, Jakub</t>
  </si>
  <si>
    <t>Pantlík, Ondřej</t>
  </si>
  <si>
    <t>Vizualizace fyzikálních jevů ve výuce na ZŠ</t>
  </si>
  <si>
    <t>výtisk</t>
  </si>
  <si>
    <t>L86</t>
  </si>
  <si>
    <t>Širůčková, Jana</t>
  </si>
  <si>
    <t>Tunová, Martina</t>
  </si>
  <si>
    <t>Vaňková, Hana</t>
  </si>
  <si>
    <t>PhDr. Jan Válek, Ph.D.</t>
  </si>
  <si>
    <t>Rossi, Jiří</t>
  </si>
  <si>
    <t>Fyzikální náměty vycházející ze SCIFI</t>
  </si>
  <si>
    <t>Kohoutková, Kristýna</t>
  </si>
  <si>
    <t>RNDr. Eva Trnová, Ph.D.</t>
  </si>
  <si>
    <t>Pimková, Sabina</t>
  </si>
  <si>
    <t>Analýza učebnic chemie pro základní školy</t>
  </si>
  <si>
    <t>Supová, Marie</t>
  </si>
  <si>
    <t>doc. RNDr. Josef Trna, CSc.</t>
  </si>
  <si>
    <t>Měření na lidském těle</t>
  </si>
  <si>
    <t>Drahošová, Renáta</t>
  </si>
  <si>
    <t>Hodnotenie zrozumiteľnosti textu učebnice</t>
  </si>
  <si>
    <t>Cáb, František</t>
  </si>
  <si>
    <t>Mgr. Renáta Bednárová</t>
  </si>
  <si>
    <t>Motivační fyzikální pokusy vytvořené s ohledem na jejich snadnou proveditelnost a využitelnost odpadu</t>
  </si>
  <si>
    <t>Kopřivová, Lucie</t>
  </si>
  <si>
    <t>Jednoduché elektrotechnické pokusy a jejich využití na ZŠ</t>
  </si>
  <si>
    <t>Králová, Alena</t>
  </si>
  <si>
    <t>Výuka fyziky v běžných třídách a třídách pro žáky se speciálními vzdělávacími potřebami</t>
  </si>
  <si>
    <t>Staněk, David</t>
  </si>
  <si>
    <t>Derivace a její aplikace ve fyzice</t>
  </si>
  <si>
    <t>Šimeček, Jiří</t>
  </si>
  <si>
    <t>Šipulová, Dana</t>
  </si>
  <si>
    <t>Mechanika kapalin ve výuce fyziky na ZŠ</t>
  </si>
  <si>
    <t>Miléř</t>
  </si>
  <si>
    <t>Drexler, Michaela</t>
  </si>
  <si>
    <t>Mgr. Denisa Kawuloková</t>
  </si>
  <si>
    <t>Ficek, Tomáš</t>
  </si>
  <si>
    <t>doc. RNDr. Petr Sládek, CSc.</t>
  </si>
  <si>
    <t>Jakubčík, Jan</t>
  </si>
  <si>
    <t>Janoušková, Monika</t>
  </si>
  <si>
    <t>Kejřová, Stanislava</t>
  </si>
  <si>
    <t>Krejčí, Jan</t>
  </si>
  <si>
    <t>Mikulcová, Marie</t>
  </si>
  <si>
    <t>Ondrušková, Lucie</t>
  </si>
  <si>
    <t>Svobodová, Petra</t>
  </si>
  <si>
    <t>Vítková, Blanka</t>
  </si>
  <si>
    <t>Čech, Michal</t>
  </si>
  <si>
    <t>Černá, Monika</t>
  </si>
  <si>
    <t>Dufek, Ondřej</t>
  </si>
  <si>
    <t>Dvořáková, Marcela</t>
  </si>
  <si>
    <t>Mgr. Ladislav Dvořák</t>
  </si>
  <si>
    <t>Gabrielová, Jana</t>
  </si>
  <si>
    <t>Mgr. Ivana Medková, Ph.D.</t>
  </si>
  <si>
    <t>Haut, Jiří</t>
  </si>
  <si>
    <t>Holubová, Michaela</t>
  </si>
  <si>
    <t>Pracovní listy ve výuce z fyziky na ZŠ</t>
  </si>
  <si>
    <t>Ingrštová, Michaela</t>
  </si>
  <si>
    <t>Kratochvíl, Martin</t>
  </si>
  <si>
    <t>Lorenc, Roman</t>
  </si>
  <si>
    <t>Mácová, Petra</t>
  </si>
  <si>
    <t>Marková, Kateřina</t>
  </si>
  <si>
    <t>Musilová, Ivana</t>
  </si>
  <si>
    <t>Technologie výuky fyziky na ZŠ v souladu s RVP ZV</t>
  </si>
  <si>
    <t>Příplatová, Miroslava</t>
  </si>
  <si>
    <t>Ryšánková, Lucie</t>
  </si>
  <si>
    <t>Šťastná, Andrea</t>
  </si>
  <si>
    <t>Šujan, Tomáš</t>
  </si>
  <si>
    <t>Tesař, Filip</t>
  </si>
  <si>
    <t>Valenta, Dalibor</t>
  </si>
  <si>
    <t>Běhal, Lukáš</t>
  </si>
  <si>
    <t>Čepelková, Petra</t>
  </si>
  <si>
    <t>Fědorová, Petra</t>
  </si>
  <si>
    <t>Hampl, Ladislav</t>
  </si>
  <si>
    <t>Harvančáková, Monika</t>
  </si>
  <si>
    <t>Janík, Josef</t>
  </si>
  <si>
    <t>Klusák, Antonín</t>
  </si>
  <si>
    <t>Pokusy z elektřiny se svépomocí vyrobenými pomůckami v přírodovědném praktiku na 1. stupni ZŠ</t>
  </si>
  <si>
    <t>Richtrová, Michaela</t>
  </si>
  <si>
    <t>Vacek, Václav</t>
  </si>
  <si>
    <t>Vlasáková, Veronika</t>
  </si>
  <si>
    <t>Rig.</t>
  </si>
  <si>
    <t>Elektromagnetické záření a jeho vliv na člověka</t>
  </si>
  <si>
    <t>Vysloužilová, Helena</t>
  </si>
  <si>
    <t>Závodníková, Ivana</t>
  </si>
  <si>
    <t>Válek, Jan</t>
  </si>
  <si>
    <t>Modelování fyzikálních jevů ve sportu</t>
  </si>
  <si>
    <t>Vašíčková, Jana</t>
  </si>
  <si>
    <t>Mgr. Jiří Šibor, Ph.D.</t>
  </si>
  <si>
    <t>Energetika ve výuce na základní škole</t>
  </si>
  <si>
    <t>Černý, Miloš</t>
  </si>
  <si>
    <t>doc. RNDr. Josef Janás, CSc.</t>
  </si>
  <si>
    <t>Husák, Marek</t>
  </si>
  <si>
    <t>Ištok, Miroslav</t>
  </si>
  <si>
    <t>Klein, Zdeněk</t>
  </si>
  <si>
    <t>Kolář, Jaroslav</t>
  </si>
  <si>
    <t>Konečná, Jitka</t>
  </si>
  <si>
    <t>Kremeňová, Michaela</t>
  </si>
  <si>
    <t>Kubecová, Michaela</t>
  </si>
  <si>
    <t>Fyzika a biomechanika gymnastiky - přemet vpřed</t>
  </si>
  <si>
    <t>Líbalová, Blanka</t>
  </si>
  <si>
    <t>Mgr. Irena Plucková, Ph.D.</t>
  </si>
  <si>
    <t>Databanka přirodovědných pokusů pro 1. stupeň základní školy</t>
  </si>
  <si>
    <t>Meduňa, Tomáš</t>
  </si>
  <si>
    <t>Pawera, Lukáš</t>
  </si>
  <si>
    <t>Pekárková, Radka</t>
  </si>
  <si>
    <t>Vlček, Lukáš</t>
  </si>
  <si>
    <t>Vaculová, Ivana</t>
  </si>
  <si>
    <t>Dis.</t>
  </si>
  <si>
    <t>Pernicová, Michaela</t>
  </si>
  <si>
    <t>Fyzika a biomechanika gymnastiky</t>
  </si>
  <si>
    <t>Bednárová, Renáta</t>
  </si>
  <si>
    <t>Bořutová, Klára</t>
  </si>
  <si>
    <t>Haisová, Anna</t>
  </si>
  <si>
    <t>Hebnarová, Pavlína</t>
  </si>
  <si>
    <t>Kawuloková, Denisa</t>
  </si>
  <si>
    <t>Křivánková, Kateřina</t>
  </si>
  <si>
    <t>Měření fyzikálních veličin na 1. stupni ZŠ</t>
  </si>
  <si>
    <t>Kříž, Vojtěch</t>
  </si>
  <si>
    <t>Kubartová, Pavlína</t>
  </si>
  <si>
    <t>Navrátil, Patrik</t>
  </si>
  <si>
    <t>Remeš, Jan</t>
  </si>
  <si>
    <t>Vyleťal, Jiří</t>
  </si>
  <si>
    <t>doc. RNDr. Vladimír Štefl, CSc.</t>
  </si>
  <si>
    <t>Zavadilová Árvová, Adela</t>
  </si>
  <si>
    <t>Bábková, Dana</t>
  </si>
  <si>
    <t>Brokeš, Zdeněk</t>
  </si>
  <si>
    <t>Černý, Miroslav</t>
  </si>
  <si>
    <t>Hab.</t>
  </si>
  <si>
    <t>Theoretical strenght and stability of crystals from first principles</t>
  </si>
  <si>
    <t>Jenišová, Dagmar</t>
  </si>
  <si>
    <t>Mpembův jev</t>
  </si>
  <si>
    <t>Kneblová, Eva</t>
  </si>
  <si>
    <t>Analýza úloh fyzikální olympiády z hlediska obsahu a vazby na ostatní vyučovací předměty</t>
  </si>
  <si>
    <t>Hmotnost - jednotky a metody měření</t>
  </si>
  <si>
    <t>Martykánová, Eva</t>
  </si>
  <si>
    <t>Měřínská, Dagmar</t>
  </si>
  <si>
    <t>Miléř, Tomáš</t>
  </si>
  <si>
    <t>Moravčík, Lukáš</t>
  </si>
  <si>
    <t>Opl, Lukáš</t>
  </si>
  <si>
    <t>Vliv vybraných druhů výroby elektřiny na životní prostředí</t>
  </si>
  <si>
    <t>Rous, Marcel</t>
  </si>
  <si>
    <t>Sklářová, Eva</t>
  </si>
  <si>
    <t>Sovová, Petra</t>
  </si>
  <si>
    <t>Energie v příkladech a ukázkách</t>
  </si>
  <si>
    <t>Szivanyó, Simona</t>
  </si>
  <si>
    <t>Šmíd, Radim</t>
  </si>
  <si>
    <t>Možnosti využití Tabulkového procesoru v přírodovědné výuce</t>
  </si>
  <si>
    <t>Vlahová, Jana</t>
  </si>
  <si>
    <t>Malachová, Marie</t>
  </si>
  <si>
    <t>Klimková, Jana</t>
  </si>
  <si>
    <t>Jančář, Aleš</t>
  </si>
  <si>
    <t>Měření na základních polovodičových součástkách</t>
  </si>
  <si>
    <t>Kryštofová, Jitka</t>
  </si>
  <si>
    <t>Soutěž jako motivační prvek v přírodovědné výuce na 1. stupni ZŠ</t>
  </si>
  <si>
    <t>Janák, Martin</t>
  </si>
  <si>
    <t>Pedagogické hodnocení, jeho možnosti a omezení v nových podmínkách</t>
  </si>
  <si>
    <t>Badinová, Jitka</t>
  </si>
  <si>
    <t>Optika v pokusech na základní škole</t>
  </si>
  <si>
    <t>Benda, Pavel</t>
  </si>
  <si>
    <t>Elektronická energie z vodních zdrojů</t>
  </si>
  <si>
    <t>Vallová, Jana</t>
  </si>
  <si>
    <t>Povrchové napětí kapalin</t>
  </si>
  <si>
    <t>Walterová, Dana</t>
  </si>
  <si>
    <t>Přírodovědné veličiny a jejich měření na 1. stupni základní školy</t>
  </si>
  <si>
    <t>Bastyanová, Olga</t>
  </si>
  <si>
    <t>Fyzika a sport</t>
  </si>
  <si>
    <t>Brtníková, Miriam</t>
  </si>
  <si>
    <t>Využití lidského těla ve výuce fyziky</t>
  </si>
  <si>
    <t>Drábek, Martin</t>
  </si>
  <si>
    <t>Fyzika hrou</t>
  </si>
  <si>
    <t>Hrazdíra, Petr</t>
  </si>
  <si>
    <t>Didaktický test ve vyučování fyzice</t>
  </si>
  <si>
    <t>Novák, Petr</t>
  </si>
  <si>
    <t>Třecí souprava pro základní a střední školy</t>
  </si>
  <si>
    <t>Otava, Lukáš</t>
  </si>
  <si>
    <t>Oko ve výuce fyziky na střední škole</t>
  </si>
  <si>
    <t>Bartes, Jan</t>
  </si>
  <si>
    <t>Měření mikrotvrdosti s využitím výpočetní techniky</t>
  </si>
  <si>
    <t>ŠE</t>
  </si>
  <si>
    <t>Březinová, Alena</t>
  </si>
  <si>
    <t>Zajímavé jevy v atmosféře</t>
  </si>
  <si>
    <t>Dušek, Jiří</t>
  </si>
  <si>
    <t>Mikrotvrdost materiálů tenkých vrstev</t>
  </si>
  <si>
    <t>Hubálek, Jaromír</t>
  </si>
  <si>
    <t>Ing. Vladimír Kolařík, Ph.D.</t>
  </si>
  <si>
    <t>Chemical microsensor</t>
  </si>
  <si>
    <t>Bučková, Barbora</t>
  </si>
  <si>
    <t>Ohmův zákon ve výuce fyziky na ZŠ</t>
  </si>
  <si>
    <t>Gregor, Ondřej</t>
  </si>
  <si>
    <t>Žákovské intuitivní představy v mechanice</t>
  </si>
  <si>
    <t>Heger, Vilém</t>
  </si>
  <si>
    <t>Projektová výuka fyziky</t>
  </si>
  <si>
    <t>Horáková, Helena</t>
  </si>
  <si>
    <t>Mikrotvrdost materiálů</t>
  </si>
  <si>
    <t>Hromádka, Zdeněk</t>
  </si>
  <si>
    <t>Elektrický proud v elektrolytech</t>
  </si>
  <si>
    <t>Jeřábek, Pavel</t>
  </si>
  <si>
    <t>Fyzika: Perspektivní zdroje energie</t>
  </si>
  <si>
    <t>Kréslová, Ivana</t>
  </si>
  <si>
    <t>Dvě tisíciletí fyzikálních objevů</t>
  </si>
  <si>
    <t>Novotná, Jiřina</t>
  </si>
  <si>
    <t>RNDr. Ladislav Skula, DrSc.</t>
  </si>
  <si>
    <t>Některé aplikace maticové analýzy</t>
  </si>
  <si>
    <t>Sláma, Michal</t>
  </si>
  <si>
    <t>Výstupní standardizovaný didaktický test ze základoškolské fyziky</t>
  </si>
  <si>
    <t>Žádníková, Pavlína</t>
  </si>
  <si>
    <t>Projektová výuka astronomie na ZŠ</t>
  </si>
  <si>
    <t>Žukovský, Daniel</t>
  </si>
  <si>
    <t>Experimenty s PET láhvemi v mechanice kapalin a plynů</t>
  </si>
  <si>
    <t>Benešovský, Petr</t>
  </si>
  <si>
    <t>Pozorování jako diagnostická metoda ve výuce fyziky</t>
  </si>
  <si>
    <t>Brancouzský, Tomáš</t>
  </si>
  <si>
    <t>Uplatnění Visual Basicu při tvorbě fyzikálního testu</t>
  </si>
  <si>
    <t>Haklová, Eva</t>
  </si>
  <si>
    <t>Fyzikální dovednosti žáků na základní škole</t>
  </si>
  <si>
    <t>Kobrová, Kateřina</t>
  </si>
  <si>
    <t>Žákovské experimetování ve výuce fyziky</t>
  </si>
  <si>
    <t>Tenková, Marta</t>
  </si>
  <si>
    <t>Školní experimenty z geometrické optiky</t>
  </si>
  <si>
    <t>Bilík, Jan</t>
  </si>
  <si>
    <t>Mikro Svět</t>
  </si>
  <si>
    <t>Hora, Vladimír</t>
  </si>
  <si>
    <t>Učebnice fyziky pro základní školu</t>
  </si>
  <si>
    <t>Dočkal, Petr</t>
  </si>
  <si>
    <t>Řízení fyzikálních měření počítačem</t>
  </si>
  <si>
    <t>Směták, Vincenc</t>
  </si>
  <si>
    <t>Optoelektronika pro základní školu</t>
  </si>
  <si>
    <t>Doležal, Bohdan</t>
  </si>
  <si>
    <t>Experimenty s elektrolyty ve výuce fyziky a chemie</t>
  </si>
  <si>
    <t>Dostálová, Jitka</t>
  </si>
  <si>
    <t>Problémové úlohy z termiky</t>
  </si>
  <si>
    <t>Dubčák, Radim</t>
  </si>
  <si>
    <t>Experimenty s polovodiči ve výuce fyziky</t>
  </si>
  <si>
    <t>Jůza, Jaroslav</t>
  </si>
  <si>
    <t>Sbírka úloh z elektrostatiky na ZŠ</t>
  </si>
  <si>
    <t>Nosková, Ivana</t>
  </si>
  <si>
    <t>Zdroje energie</t>
  </si>
  <si>
    <t>Pechová, Zuzana</t>
  </si>
  <si>
    <t>Mikrotvrdost tenkých vrstev</t>
  </si>
  <si>
    <t>Špaček, Tomáš</t>
  </si>
  <si>
    <t>Demonstrační pokusy s lineárními integrovanými obvody</t>
  </si>
  <si>
    <t>Kružíková, Eva</t>
  </si>
  <si>
    <t>Problémové úlohy z optiky</t>
  </si>
  <si>
    <t>Otruba, Jiří</t>
  </si>
  <si>
    <t>Šohaj, Petr</t>
  </si>
  <si>
    <t>Fyzikální postupy v anglických učebnicích</t>
  </si>
  <si>
    <t>Vojtěch, Martin</t>
  </si>
  <si>
    <t>Vnitřní tlumení v pevných látkách</t>
  </si>
  <si>
    <t>Zika, Miroslav</t>
  </si>
  <si>
    <t>Mechanické vlastnosti pevných látek v experimentech</t>
  </si>
  <si>
    <t>Budík, Bronislav</t>
  </si>
  <si>
    <t>Tlak a tlaková síla v didaktickém systému</t>
  </si>
  <si>
    <t>Dvořáková, Petra</t>
  </si>
  <si>
    <t>RNDr. Josef Matoušek</t>
  </si>
  <si>
    <t>Historické pomůcky pro vyučování fyzice</t>
  </si>
  <si>
    <t>Palánová, Marie</t>
  </si>
  <si>
    <t>Nuffieldská fyzika - inspirace pro nás?</t>
  </si>
  <si>
    <t>Vopička, Petr</t>
  </si>
  <si>
    <t>Vliv ionizujícího záření na živé organismy</t>
  </si>
  <si>
    <t>Dvořáček, Jaroslav</t>
  </si>
  <si>
    <t>Archimédův zákon ve školských pokusech</t>
  </si>
  <si>
    <t>Mokrá, Jana</t>
  </si>
  <si>
    <t>Metodický výklad poruch krystalové mřížky na střední škole</t>
  </si>
  <si>
    <t>Tvrz, Miloslav</t>
  </si>
  <si>
    <t>Diagnostika a hodnocení vědomostí a dovedností z fyziky na základní škole</t>
  </si>
  <si>
    <t>Zoufalý, Rudolf</t>
  </si>
  <si>
    <t>Elektromagnetická indukce ve školních pokusech</t>
  </si>
  <si>
    <t>Mika, Ivo</t>
  </si>
  <si>
    <t>Videotechnika ve výuce fyziky</t>
  </si>
  <si>
    <t>Pleskot, Rostislav</t>
  </si>
  <si>
    <t>Motivační význam fyzikálních úloh</t>
  </si>
  <si>
    <t>Snášel, Jiří</t>
  </si>
  <si>
    <t>Fyzikálně technické úlohy na základní škole</t>
  </si>
  <si>
    <t>Bartoň, Zbyněk</t>
  </si>
  <si>
    <t>Didaktická technika ve vyučování fyzice</t>
  </si>
  <si>
    <t>Mikeska, Josef</t>
  </si>
  <si>
    <t>Historické fyzikální pomůcky na brněnských středních školách</t>
  </si>
  <si>
    <t>Zrůn, Michal</t>
  </si>
  <si>
    <t>Vazba fyziky a pracovního vyučování na základní škole</t>
  </si>
  <si>
    <t>Fojtů, Renata</t>
  </si>
  <si>
    <t>RNDr. Miloš Hamerský, CSc.</t>
  </si>
  <si>
    <t>Zkouška mikrotvrdosti povrchových vrstev pevných látek podle Vickerse</t>
  </si>
  <si>
    <t>Hamerský, Miloš</t>
  </si>
  <si>
    <t>Relaxace napětí</t>
  </si>
  <si>
    <t>Klement, Pavel</t>
  </si>
  <si>
    <t>Návrh výkladu tématu "Stavba kosmických těles a vesmíru"</t>
  </si>
  <si>
    <t>Košacká, Marcela</t>
  </si>
  <si>
    <t>Uplatňování mezipředmětových vztahů fyziky a pracovního vyučování na základní škole</t>
  </si>
  <si>
    <t>Peřestý, Ladislav</t>
  </si>
  <si>
    <t>RNDr. Žofie Morawitzová</t>
  </si>
  <si>
    <t>Technické prostředky ve výuce optiky</t>
  </si>
  <si>
    <t>Šplíchalová, Iva</t>
  </si>
  <si>
    <t>RNDr. Milan Keprt, CSc.</t>
  </si>
  <si>
    <t>Myšlenky J. A. Komenského a současná výuka fyziky</t>
  </si>
  <si>
    <t>Adámek, Petr</t>
  </si>
  <si>
    <t>RNDr. František Šťastný, CSc.</t>
  </si>
  <si>
    <t>Jednoduché periferie k mikropočítačům</t>
  </si>
  <si>
    <t>Beneš, Miroslav</t>
  </si>
  <si>
    <t>Fyzikální aspekty v zájmovém kroužku raketového modelářství na SOU</t>
  </si>
  <si>
    <t>Kopáč, Vlastimil</t>
  </si>
  <si>
    <t>Využití počítače IQ 151 ve vyučování fyzice</t>
  </si>
  <si>
    <t>Něměc, Petr</t>
  </si>
  <si>
    <t>Slavíková, Anna</t>
  </si>
  <si>
    <t>Uplatňování mezipředmětových vztahů ve fyzice a matematice v 1. ročníku gymnázia</t>
  </si>
  <si>
    <t>Blahůšková, Jana</t>
  </si>
  <si>
    <t>Využití mikropočítače při výuce fyziky na střední škole</t>
  </si>
  <si>
    <t>Dubová, Marcela</t>
  </si>
  <si>
    <t>RNDr. Bohuslav Máca, CSc.</t>
  </si>
  <si>
    <t>Průprava fyzikálního myšlení u dětí předškolního věku</t>
  </si>
  <si>
    <t>Halík, Petr</t>
  </si>
  <si>
    <t>Využití mikropočítače PMD-85 ve vyučování fyziky na střední škole</t>
  </si>
  <si>
    <t>Němcová, Zdenka</t>
  </si>
  <si>
    <t>Využití mikropočítače PMD-85 ve vyučování fyziky na gymnáziu</t>
  </si>
  <si>
    <t>Pažoutová, Eva</t>
  </si>
  <si>
    <t>Uplatňování mezipředmětových vztahů fyziky, pracovního vyučování a základů techniky na základní škole</t>
  </si>
  <si>
    <t>Soukupová, Jana</t>
  </si>
  <si>
    <t>Fyzikální besedy s mezipředmětovou tematikou</t>
  </si>
  <si>
    <t>Cyprián, Vítězslav</t>
  </si>
  <si>
    <t>Didaktické hry ve výuce fyziky</t>
  </si>
  <si>
    <t>Vlčková, Marie</t>
  </si>
  <si>
    <t>Prvky kvantové fyziky v didaktickém systému střední školy</t>
  </si>
  <si>
    <t>Čuma, Jan</t>
  </si>
  <si>
    <t>Fyzikální aspekty v odborném praktickém výcviku</t>
  </si>
  <si>
    <t>Slavík, Jindřich</t>
  </si>
  <si>
    <t>Úloha samostatných prací žáků při rozvíjení jejich technického myšlení</t>
  </si>
  <si>
    <t>Adam, Stanislav</t>
  </si>
  <si>
    <t>Samostatné práce žáků v odborných stavebních předmětech na středních odborných učilištích</t>
  </si>
  <si>
    <t>Janeček, Jiří</t>
  </si>
  <si>
    <t>Historická tématika ve vyučování optice na základní škole a gymnáziu</t>
  </si>
  <si>
    <t>Jedlička, Jan</t>
  </si>
  <si>
    <t>Odborná učebna pro odborné předměty a fyziku</t>
  </si>
  <si>
    <t>Zápotočná, Jindřiška</t>
  </si>
  <si>
    <t>Mezipředmětové vztahy fyziky a odborných předmětů na středních odborných učilištích</t>
  </si>
  <si>
    <t>Kudláček, Luboš</t>
  </si>
  <si>
    <t>prof. Ing. J. Čadka, DrSc.</t>
  </si>
  <si>
    <t>Vysokoteplotní creep železa v intervalu teplot 875 K-1125 K</t>
  </si>
  <si>
    <t>Ondráček, Josef</t>
  </si>
  <si>
    <t>Názornost a školní pokus v učivu o statických polích</t>
  </si>
  <si>
    <t>Rychnovský, Bohumír</t>
  </si>
  <si>
    <t>Využití počítačů ve výuce</t>
  </si>
  <si>
    <t>Tylč, František</t>
  </si>
  <si>
    <t>Základní fyzikální principy a výuka zvoleného předmětu</t>
  </si>
  <si>
    <t>Janek, Josef</t>
  </si>
  <si>
    <t>Mezipředmětové vztahy fyziky a ostatních předmětů v učňovském školství</t>
  </si>
  <si>
    <t>Kunc, Zdeněk</t>
  </si>
  <si>
    <t>Fyzikální tematika v zájmové činnosti učňů</t>
  </si>
  <si>
    <t>Horáková, Hana</t>
  </si>
  <si>
    <t>Creep polykrystalů slitiny Cd + 1 at.% Zn</t>
  </si>
  <si>
    <t>Kachnáč, Zdeněk</t>
  </si>
  <si>
    <t>Články s fyzikální tématikou v populární literatuře a jejich význam pro vzbuzování zájmu mládeže o polytechnické vzdělání</t>
  </si>
  <si>
    <t>Kryštofová, Helena</t>
  </si>
  <si>
    <t>Částicová stavba látek a její vyučování na ZDŠ a ZŠ</t>
  </si>
  <si>
    <t>Mareček, Vladimír</t>
  </si>
  <si>
    <t>Světonázorová výchova ve vyučování astronomii</t>
  </si>
  <si>
    <t>Nevřivá, Radmila</t>
  </si>
  <si>
    <t>RNDr. Zdeněk Ondráček</t>
  </si>
  <si>
    <t>Absorpční spektra a jejich měření</t>
  </si>
  <si>
    <t>Pavel, Michal</t>
  </si>
  <si>
    <t>Fyzikální podstata stavby vesmíru</t>
  </si>
  <si>
    <t>Pospíchalová, Dana</t>
  </si>
  <si>
    <t>Komunistická výchova ve vyučování fyzice</t>
  </si>
  <si>
    <t>Roušalová, Marie</t>
  </si>
  <si>
    <t>Fyzika jako dominantní složka vytváření přirodovědného obrazu světa</t>
  </si>
  <si>
    <t>Slováček, Jan</t>
  </si>
  <si>
    <t>Měření ve vyučování fyzice na základní škole</t>
  </si>
  <si>
    <t>Štoudek, Pavel</t>
  </si>
  <si>
    <t>Stavba látek v učivu fyziky a chemie základní školy</t>
  </si>
  <si>
    <t>Tichá, Marcela</t>
  </si>
  <si>
    <t>Využití metody "černé schránky" ve vyučování fyzice</t>
  </si>
  <si>
    <t>Kubínová, Jitka</t>
  </si>
  <si>
    <t>H - R diagram</t>
  </si>
  <si>
    <t>Kuna, Václav</t>
  </si>
  <si>
    <t>Rozvíjení zájmu žáků o fyziku a technická povolání ve fyzikálním kroužku</t>
  </si>
  <si>
    <t>Demlová, Vlasta</t>
  </si>
  <si>
    <t>Danuše Kunovjánková</t>
  </si>
  <si>
    <t>Užití příkladu s fyzikálním námětem v matematice na ZDŠ</t>
  </si>
  <si>
    <t>Ingerlová, Aneta</t>
  </si>
  <si>
    <t>Zdeněk Buřil</t>
  </si>
  <si>
    <t>Přestavba vyučování matematice v I. ročníku ZDŠ</t>
  </si>
  <si>
    <t>Dresler, Jan</t>
  </si>
  <si>
    <t>Elektronika ve výuce fyziky na ZDŠ</t>
  </si>
  <si>
    <t>Napěťové charakteristiky creepu α-Zr v oblasti teplot 300 - 900 K</t>
  </si>
  <si>
    <t>Mazáčová, Jitka</t>
  </si>
  <si>
    <t>Přehled o použití polovodičových prvků</t>
  </si>
  <si>
    <t>Vyžrálková, Jitka</t>
  </si>
  <si>
    <t>Principy příjmu barevného televizního signálu</t>
  </si>
  <si>
    <t>Okáčová-Dadáková, Ludmila</t>
  </si>
  <si>
    <t>V. Suchánek</t>
  </si>
  <si>
    <t>Zatmění slunce a měsíce</t>
  </si>
  <si>
    <t>Požárová, Ludmila</t>
  </si>
  <si>
    <t>Využití exkurze do zemědělského závodu ve vyučování fyzice na ZDŠ</t>
  </si>
  <si>
    <t>Pardubická, Nina</t>
  </si>
  <si>
    <t>O. Kocman</t>
  </si>
  <si>
    <t>Spektra</t>
  </si>
  <si>
    <t>Polák, Jaroslav</t>
  </si>
  <si>
    <t>Elektrické kmity</t>
  </si>
  <si>
    <t>Neřimová, Bohumila</t>
  </si>
  <si>
    <t>Jednoduchý a rozvětvený elekt. Obvod</t>
  </si>
  <si>
    <t>Golab, František</t>
  </si>
  <si>
    <t>Problémy modernizace výuky elektronice na základní škole</t>
  </si>
  <si>
    <t>Procházka, Vladislav</t>
  </si>
  <si>
    <t>Elektronky</t>
  </si>
  <si>
    <t>Dvořák, Jaroslav</t>
  </si>
  <si>
    <t>Jednoduché stroje</t>
  </si>
  <si>
    <t>Marousková, Marie</t>
  </si>
  <si>
    <t>Výchova k vědeckému světovému názoru ve vyučování fyziky na základní devítileté škole</t>
  </si>
  <si>
    <t>Tuček, Vladislav</t>
  </si>
  <si>
    <t>Střídavý proud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</si>
</sst>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sz val="11"/>
      <color indexed="21"/>
      <name val="Calibri"/>
      <family val="2"/>
    </font>
    <font>
      <b/>
      <sz val="11"/>
      <color indexed="5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16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wrapText="1"/>
      <protection/>
    </xf>
    <xf numFmtId="164" fontId="8" fillId="0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th/k28u5/?fakulta=1441;obdobi=7225" TargetMode="External" /><Relationship Id="rId2" Type="http://schemas.openxmlformats.org/officeDocument/2006/relationships/hyperlink" Target="https://is.muni.cz/auth/th/k28u5/annotation.txt" TargetMode="External" /><Relationship Id="rId3" Type="http://schemas.openxmlformats.org/officeDocument/2006/relationships/hyperlink" Target="https://is.muni.cz/auth/th/m4thj/" TargetMode="External" /><Relationship Id="rId4" Type="http://schemas.openxmlformats.org/officeDocument/2006/relationships/hyperlink" Target="https://is.muni.cz/auth/th/m4thj/annotation.txt" TargetMode="External" /><Relationship Id="rId5" Type="http://schemas.openxmlformats.org/officeDocument/2006/relationships/hyperlink" Target="https://is.muni.cz/auth/th/igsos/" TargetMode="External" /><Relationship Id="rId6" Type="http://schemas.openxmlformats.org/officeDocument/2006/relationships/hyperlink" Target="https://is.muni.cz/auth/th/igsos/annotation.txt" TargetMode="External" /><Relationship Id="rId7" Type="http://schemas.openxmlformats.org/officeDocument/2006/relationships/hyperlink" Target="https://is.muni.cz/auth/th/stpq2/annotation.txt" TargetMode="External" /><Relationship Id="rId8" Type="http://schemas.openxmlformats.org/officeDocument/2006/relationships/hyperlink" Target="https://is.muni.cz/auth/th/fhxam/?fakulta=1441;obdobi=7225" TargetMode="External" /><Relationship Id="rId9" Type="http://schemas.openxmlformats.org/officeDocument/2006/relationships/hyperlink" Target="https://is.muni.cz/auth/th/fhxam/annotation.txt" TargetMode="External" /><Relationship Id="rId10" Type="http://schemas.openxmlformats.org/officeDocument/2006/relationships/hyperlink" Target="https://is.muni.cz/auth/th/qc041/?fakulta=1441;obdobi=7225" TargetMode="External" /><Relationship Id="rId11" Type="http://schemas.openxmlformats.org/officeDocument/2006/relationships/hyperlink" Target="https://is.muni.cz/auth/th/qc041/annotation.txt" TargetMode="External" /><Relationship Id="rId12" Type="http://schemas.openxmlformats.org/officeDocument/2006/relationships/hyperlink" Target="https://is.muni.cz/auth/th/kni21/?fakulta=1441;obdobi=7223" TargetMode="External" /><Relationship Id="rId13" Type="http://schemas.openxmlformats.org/officeDocument/2006/relationships/hyperlink" Target="https://is.muni.cz/auth/th/kni21/annotation.txt" TargetMode="External" /><Relationship Id="rId14" Type="http://schemas.openxmlformats.org/officeDocument/2006/relationships/hyperlink" Target="https://is.muni.cz/auth/th/q63cn/?fakulta=1441;obdobi=7143" TargetMode="External" /><Relationship Id="rId15" Type="http://schemas.openxmlformats.org/officeDocument/2006/relationships/hyperlink" Target="https://is.muni.cz/auth/th/q63cn/annotation.txt" TargetMode="External" /><Relationship Id="rId16" Type="http://schemas.openxmlformats.org/officeDocument/2006/relationships/hyperlink" Target="https://is.muni.cz/th/uy3mb/" TargetMode="External" /><Relationship Id="rId17" Type="http://schemas.openxmlformats.org/officeDocument/2006/relationships/hyperlink" Target="https://is.muni.cz/auth/th/x7vp4/" TargetMode="External" /><Relationship Id="rId18" Type="http://schemas.openxmlformats.org/officeDocument/2006/relationships/hyperlink" Target="https://is.muni.cz/auth/th/oun8b/" TargetMode="External" /><Relationship Id="rId19" Type="http://schemas.openxmlformats.org/officeDocument/2006/relationships/hyperlink" Target="https://is.muni.cz/auth/th/bsmyn/" TargetMode="External" /><Relationship Id="rId20" Type="http://schemas.openxmlformats.org/officeDocument/2006/relationships/hyperlink" Target="https://is.muni.cz/th/yx2i9/" TargetMode="External" /><Relationship Id="rId21" Type="http://schemas.openxmlformats.org/officeDocument/2006/relationships/hyperlink" Target="https://is.muni.cz/th/njvbi/" TargetMode="External" /><Relationship Id="rId22" Type="http://schemas.openxmlformats.org/officeDocument/2006/relationships/hyperlink" Target="https://is.muni.cz/th/aubi2/" TargetMode="External" /><Relationship Id="rId23" Type="http://schemas.openxmlformats.org/officeDocument/2006/relationships/hyperlink" Target="https://is.muni.cz/th/ct7e1/" TargetMode="External" /><Relationship Id="rId24" Type="http://schemas.openxmlformats.org/officeDocument/2006/relationships/hyperlink" Target="https://is.muni.cz/th/q2d15/" TargetMode="External" /><Relationship Id="rId25" Type="http://schemas.openxmlformats.org/officeDocument/2006/relationships/hyperlink" Target="https://is.muni.cz/th/rtb5y/" TargetMode="External" /><Relationship Id="rId26" Type="http://schemas.openxmlformats.org/officeDocument/2006/relationships/hyperlink" Target="https://is.muni.cz/th/pattr/" TargetMode="External" /><Relationship Id="rId27" Type="http://schemas.openxmlformats.org/officeDocument/2006/relationships/hyperlink" Target="https://is.muni.cz/th/heosz/" TargetMode="External" /><Relationship Id="rId28" Type="http://schemas.openxmlformats.org/officeDocument/2006/relationships/hyperlink" Target="https://is.muni.cz/auth/th/refir/" TargetMode="External" /><Relationship Id="rId29" Type="http://schemas.openxmlformats.org/officeDocument/2006/relationships/hyperlink" Target="https://is.muni.cz/th/jl5e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0"/>
  <sheetViews>
    <sheetView tabSelected="1" workbookViewId="0" topLeftCell="A1">
      <pane ySplit="6" topLeftCell="E7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5.625" style="1" customWidth="1"/>
    <col min="2" max="2" width="7.50390625" style="1" customWidth="1"/>
    <col min="3" max="3" width="25.375" style="2" customWidth="1"/>
    <col min="4" max="4" width="31.625" style="3" customWidth="1"/>
    <col min="5" max="5" width="7.125" style="1" customWidth="1"/>
    <col min="6" max="6" width="104.875" style="3" customWidth="1"/>
    <col min="7" max="7" width="9.00390625" style="1" customWidth="1"/>
    <col min="8" max="12" width="4.875" style="1" customWidth="1"/>
    <col min="13" max="13" width="9.875" style="1" customWidth="1"/>
    <col min="14" max="14" width="7.50390625" style="3" customWidth="1"/>
    <col min="15" max="16384" width="8.75390625" style="3" customWidth="1"/>
  </cols>
  <sheetData>
    <row r="1" spans="8:13" ht="12.75">
      <c r="H1" s="2" t="s">
        <v>0</v>
      </c>
      <c r="I1" s="2"/>
      <c r="J1" s="2"/>
      <c r="K1" s="2"/>
      <c r="L1" s="2"/>
      <c r="M1" s="3"/>
    </row>
    <row r="2" spans="8:13" ht="12.75">
      <c r="H2" s="2" t="s">
        <v>1</v>
      </c>
      <c r="I2" s="2"/>
      <c r="J2" s="2"/>
      <c r="K2" s="2"/>
      <c r="L2" s="2"/>
      <c r="M2" s="3"/>
    </row>
    <row r="3" spans="8:13" ht="12.75">
      <c r="H3" s="2" t="s">
        <v>2</v>
      </c>
      <c r="I3" s="2"/>
      <c r="J3" s="2"/>
      <c r="K3" s="2"/>
      <c r="L3" s="2"/>
      <c r="M3" s="3"/>
    </row>
    <row r="4" spans="8:13" ht="12.75">
      <c r="H4" s="2" t="s">
        <v>3</v>
      </c>
      <c r="I4" s="2"/>
      <c r="J4" s="2"/>
      <c r="K4" s="2"/>
      <c r="L4" s="2"/>
      <c r="M4" s="3"/>
    </row>
    <row r="5" spans="8:13" ht="12.75">
      <c r="H5" s="2" t="s">
        <v>4</v>
      </c>
      <c r="I5" s="2"/>
      <c r="J5" s="2"/>
      <c r="K5" s="2"/>
      <c r="L5" s="2"/>
      <c r="M5" s="3"/>
    </row>
    <row r="6" spans="1:14" s="4" customFormat="1" ht="12.75">
      <c r="A6" s="4" t="s">
        <v>5</v>
      </c>
      <c r="B6" s="4" t="s">
        <v>6</v>
      </c>
      <c r="C6" s="2" t="s">
        <v>7</v>
      </c>
      <c r="D6" s="4" t="s">
        <v>8</v>
      </c>
      <c r="E6" s="5" t="s">
        <v>9</v>
      </c>
      <c r="F6" s="4" t="s">
        <v>10</v>
      </c>
      <c r="G6" s="5" t="s">
        <v>11</v>
      </c>
      <c r="H6" s="5" t="s">
        <v>12</v>
      </c>
      <c r="I6" s="5"/>
      <c r="J6" s="5"/>
      <c r="K6" s="5"/>
      <c r="L6" s="5"/>
      <c r="M6" s="4" t="s">
        <v>13</v>
      </c>
      <c r="N6" s="4" t="s">
        <v>14</v>
      </c>
    </row>
    <row r="7" spans="1:14" s="4" customFormat="1" ht="20.25" customHeight="1">
      <c r="A7" s="1">
        <v>268</v>
      </c>
      <c r="B7" s="1">
        <v>2019</v>
      </c>
      <c r="C7" s="2" t="s">
        <v>15</v>
      </c>
      <c r="D7" s="3" t="s">
        <v>16</v>
      </c>
      <c r="E7" s="1" t="s">
        <v>17</v>
      </c>
      <c r="F7" s="6" t="s">
        <v>18</v>
      </c>
      <c r="G7" s="7" t="s">
        <v>11</v>
      </c>
      <c r="H7" s="1" t="s">
        <v>19</v>
      </c>
      <c r="I7" s="1"/>
      <c r="J7" s="1"/>
      <c r="K7" s="1"/>
      <c r="L7" s="1"/>
      <c r="M7" s="1" t="s">
        <v>20</v>
      </c>
      <c r="N7" s="1" t="s">
        <v>21</v>
      </c>
    </row>
    <row r="8" spans="1:14" s="4" customFormat="1" ht="12.75">
      <c r="A8" s="1">
        <v>267</v>
      </c>
      <c r="B8" s="1">
        <v>2019</v>
      </c>
      <c r="C8" s="2" t="s">
        <v>22</v>
      </c>
      <c r="D8" s="3" t="s">
        <v>23</v>
      </c>
      <c r="E8" s="1" t="s">
        <v>17</v>
      </c>
      <c r="F8" s="6" t="s">
        <v>24</v>
      </c>
      <c r="G8" s="7" t="s">
        <v>11</v>
      </c>
      <c r="H8" s="1" t="s">
        <v>19</v>
      </c>
      <c r="I8" s="1"/>
      <c r="J8" s="1" t="s">
        <v>25</v>
      </c>
      <c r="K8" s="1"/>
      <c r="L8" s="1"/>
      <c r="M8" s="1" t="s">
        <v>20</v>
      </c>
      <c r="N8" s="1" t="s">
        <v>21</v>
      </c>
    </row>
    <row r="9" spans="1:14" s="4" customFormat="1" ht="12.75">
      <c r="A9" s="1">
        <v>266</v>
      </c>
      <c r="B9" s="1">
        <v>2019</v>
      </c>
      <c r="C9" s="2" t="s">
        <v>26</v>
      </c>
      <c r="D9" s="3" t="s">
        <v>23</v>
      </c>
      <c r="E9" s="1" t="s">
        <v>27</v>
      </c>
      <c r="F9" s="6" t="s">
        <v>28</v>
      </c>
      <c r="G9" s="7" t="s">
        <v>11</v>
      </c>
      <c r="H9" s="1" t="s">
        <v>19</v>
      </c>
      <c r="I9" s="1"/>
      <c r="J9" s="1" t="s">
        <v>25</v>
      </c>
      <c r="K9" s="1" t="s">
        <v>29</v>
      </c>
      <c r="L9" s="1"/>
      <c r="M9" s="1" t="s">
        <v>20</v>
      </c>
      <c r="N9" s="1" t="s">
        <v>21</v>
      </c>
    </row>
    <row r="10" spans="1:14" s="4" customFormat="1" ht="12.75">
      <c r="A10" s="1">
        <v>265</v>
      </c>
      <c r="B10" s="1">
        <v>2019</v>
      </c>
      <c r="C10" s="2" t="s">
        <v>30</v>
      </c>
      <c r="D10" s="3" t="s">
        <v>31</v>
      </c>
      <c r="E10" s="1" t="s">
        <v>27</v>
      </c>
      <c r="F10" s="6" t="s">
        <v>32</v>
      </c>
      <c r="G10" s="7" t="s">
        <v>11</v>
      </c>
      <c r="H10" s="1" t="s">
        <v>19</v>
      </c>
      <c r="I10" s="1" t="s">
        <v>33</v>
      </c>
      <c r="J10" s="1" t="s">
        <v>25</v>
      </c>
      <c r="K10" s="1"/>
      <c r="L10" s="1"/>
      <c r="M10" s="1" t="s">
        <v>20</v>
      </c>
      <c r="N10" s="1" t="s">
        <v>21</v>
      </c>
    </row>
    <row r="11" spans="1:14" s="4" customFormat="1" ht="12.75">
      <c r="A11" s="1">
        <v>264</v>
      </c>
      <c r="B11" s="1">
        <v>2019</v>
      </c>
      <c r="C11" s="2" t="s">
        <v>34</v>
      </c>
      <c r="D11" s="3" t="s">
        <v>31</v>
      </c>
      <c r="E11" s="1" t="s">
        <v>27</v>
      </c>
      <c r="F11" s="6" t="s">
        <v>35</v>
      </c>
      <c r="G11" s="7" t="s">
        <v>11</v>
      </c>
      <c r="H11" s="1"/>
      <c r="I11" s="1" t="s">
        <v>33</v>
      </c>
      <c r="J11" s="1"/>
      <c r="K11" s="1" t="s">
        <v>29</v>
      </c>
      <c r="L11" s="1"/>
      <c r="M11" s="1" t="s">
        <v>20</v>
      </c>
      <c r="N11" s="1" t="s">
        <v>21</v>
      </c>
    </row>
    <row r="12" spans="1:14" s="4" customFormat="1" ht="12.75">
      <c r="A12" s="1">
        <v>263</v>
      </c>
      <c r="B12" s="1">
        <v>2019</v>
      </c>
      <c r="C12" s="2" t="s">
        <v>36</v>
      </c>
      <c r="D12" s="3" t="s">
        <v>37</v>
      </c>
      <c r="E12" s="1" t="s">
        <v>38</v>
      </c>
      <c r="F12" s="8" t="s">
        <v>39</v>
      </c>
      <c r="G12" s="1" t="s">
        <v>11</v>
      </c>
      <c r="H12" s="1" t="s">
        <v>19</v>
      </c>
      <c r="I12" s="1"/>
      <c r="J12" s="1"/>
      <c r="K12" s="1"/>
      <c r="L12" s="1"/>
      <c r="M12" s="1" t="s">
        <v>20</v>
      </c>
      <c r="N12" s="1" t="s">
        <v>21</v>
      </c>
    </row>
    <row r="13" spans="1:14" s="4" customFormat="1" ht="12.75">
      <c r="A13" s="1">
        <v>262</v>
      </c>
      <c r="B13" s="1">
        <v>2019</v>
      </c>
      <c r="C13" s="2" t="s">
        <v>40</v>
      </c>
      <c r="D13" s="3" t="s">
        <v>37</v>
      </c>
      <c r="E13" s="1" t="s">
        <v>38</v>
      </c>
      <c r="F13" s="3" t="s">
        <v>41</v>
      </c>
      <c r="G13" s="1" t="s">
        <v>11</v>
      </c>
      <c r="H13" s="1" t="s">
        <v>19</v>
      </c>
      <c r="I13" s="1"/>
      <c r="J13" s="1"/>
      <c r="K13" s="1"/>
      <c r="L13" s="1"/>
      <c r="M13" s="1" t="s">
        <v>20</v>
      </c>
      <c r="N13" s="1" t="s">
        <v>21</v>
      </c>
    </row>
    <row r="14" spans="1:14" ht="12.75">
      <c r="A14" s="1">
        <v>261</v>
      </c>
      <c r="B14" s="1">
        <v>2019</v>
      </c>
      <c r="C14" s="2" t="s">
        <v>42</v>
      </c>
      <c r="D14" s="3" t="s">
        <v>37</v>
      </c>
      <c r="E14" s="1" t="s">
        <v>38</v>
      </c>
      <c r="F14" s="9" t="s">
        <v>43</v>
      </c>
      <c r="G14" s="7" t="s">
        <v>11</v>
      </c>
      <c r="I14" s="1" t="s">
        <v>33</v>
      </c>
      <c r="M14" s="1" t="s">
        <v>20</v>
      </c>
      <c r="N14" s="1" t="s">
        <v>21</v>
      </c>
    </row>
    <row r="15" spans="1:14" ht="12.75">
      <c r="A15" s="1">
        <v>260</v>
      </c>
      <c r="B15" s="1">
        <v>2018</v>
      </c>
      <c r="C15" s="2" t="s">
        <v>44</v>
      </c>
      <c r="D15" s="3" t="s">
        <v>31</v>
      </c>
      <c r="E15" s="1" t="s">
        <v>27</v>
      </c>
      <c r="F15" s="10" t="str">
        <f>HYPERLINK("https://is.muni.cz/th/t4y3t/","Fyzika vaření")</f>
        <v>Fyzika vaření</v>
      </c>
      <c r="G15" s="11" t="str">
        <f>HYPERLINK("https://is.muni.cz/th/t4y3t/annotation.txt","Anotace")</f>
        <v>Anotace</v>
      </c>
      <c r="J15" s="1" t="s">
        <v>25</v>
      </c>
      <c r="M15" s="1" t="s">
        <v>20</v>
      </c>
      <c r="N15" s="1" t="s">
        <v>21</v>
      </c>
    </row>
    <row r="16" spans="1:14" ht="12.75">
      <c r="A16" s="1">
        <v>259</v>
      </c>
      <c r="B16" s="1">
        <v>2018</v>
      </c>
      <c r="C16" s="2" t="s">
        <v>45</v>
      </c>
      <c r="D16" s="3" t="s">
        <v>31</v>
      </c>
      <c r="E16" s="1" t="s">
        <v>27</v>
      </c>
      <c r="F16" s="10" t="str">
        <f>HYPERLINK("https://is.muni.cz/th/lcqk6/","Náměty do hodin fyziky se zaměřením na hudební akustiku")</f>
        <v>Náměty do hodin fyziky se zaměřením na hudební akustiku</v>
      </c>
      <c r="G16" s="11" t="str">
        <f>HYPERLINK("https://is.muni.cz/th/lcqk6/annotation.txt","Anotace")</f>
        <v>Anotace</v>
      </c>
      <c r="H16" s="1" t="s">
        <v>19</v>
      </c>
      <c r="M16" s="1" t="s">
        <v>20</v>
      </c>
      <c r="N16" s="1" t="s">
        <v>21</v>
      </c>
    </row>
    <row r="17" spans="1:14" ht="12.75">
      <c r="A17" s="1">
        <v>258</v>
      </c>
      <c r="B17" s="1">
        <v>2018</v>
      </c>
      <c r="C17" s="2" t="s">
        <v>46</v>
      </c>
      <c r="D17" s="3" t="s">
        <v>37</v>
      </c>
      <c r="E17" s="1" t="s">
        <v>17</v>
      </c>
      <c r="F17" s="10" t="str">
        <f>HYPERLINK("A6:AMJ6","Pracovní listy z fyziky pro 7. ročník základní školy")</f>
        <v>Pracovní listy z fyziky pro 7. ročník základní školy</v>
      </c>
      <c r="G17" s="11" t="str">
        <f>HYPERLINK("https://is.muni.cz/th/biwtn/annotation.txt","Anotace")</f>
        <v>Anotace</v>
      </c>
      <c r="H17" s="1" t="s">
        <v>19</v>
      </c>
      <c r="M17" s="1" t="s">
        <v>20</v>
      </c>
      <c r="N17" s="1" t="s">
        <v>21</v>
      </c>
    </row>
    <row r="18" spans="1:14" ht="12.75">
      <c r="A18" s="1">
        <v>257</v>
      </c>
      <c r="B18" s="1">
        <v>2018</v>
      </c>
      <c r="C18" s="2" t="s">
        <v>47</v>
      </c>
      <c r="D18" s="3" t="s">
        <v>48</v>
      </c>
      <c r="E18" s="1" t="s">
        <v>17</v>
      </c>
      <c r="F18" s="10" t="str">
        <f>HYPERLINK("https://is.muni.cz/th/gezqv/","Mylné názory na teorii relativity")</f>
        <v>Mylné názory na teorii relativity</v>
      </c>
      <c r="G18" s="12" t="str">
        <f>HYPERLINK("https://is.muni.cz/th/gezqv/annotation.txt","Anotace")</f>
        <v>Anotace</v>
      </c>
      <c r="J18" s="1" t="s">
        <v>25</v>
      </c>
      <c r="M18" s="1" t="s">
        <v>20</v>
      </c>
      <c r="N18" s="1" t="s">
        <v>21</v>
      </c>
    </row>
    <row r="19" spans="1:14" ht="12.75">
      <c r="A19" s="1">
        <v>256</v>
      </c>
      <c r="B19" s="1">
        <v>2018</v>
      </c>
      <c r="C19" s="2" t="s">
        <v>49</v>
      </c>
      <c r="D19" s="3" t="s">
        <v>50</v>
      </c>
      <c r="E19" s="1" t="s">
        <v>27</v>
      </c>
      <c r="F19" s="10" t="str">
        <f>HYPERLINK("https://is.muni.cz/th/fdvuu/","Daltonské prvky ve výuce fyziky v 6. ročníku ZŠ")</f>
        <v>Daltonské prvky ve výuce fyziky v 6. ročníku ZŠ</v>
      </c>
      <c r="G19" s="11" t="str">
        <f>HYPERLINK("https://is.muni.cz/th/fdvuu/annotation.txt","Anotace")</f>
        <v>Anotace</v>
      </c>
      <c r="H19" s="1" t="s">
        <v>19</v>
      </c>
      <c r="M19" s="1" t="s">
        <v>20</v>
      </c>
      <c r="N19" s="1" t="s">
        <v>21</v>
      </c>
    </row>
    <row r="20" spans="1:14" ht="12.75">
      <c r="A20" s="1">
        <v>255</v>
      </c>
      <c r="B20" s="1">
        <v>2018</v>
      </c>
      <c r="C20" s="2" t="s">
        <v>51</v>
      </c>
      <c r="D20" s="3" t="s">
        <v>52</v>
      </c>
      <c r="E20" s="1" t="s">
        <v>17</v>
      </c>
      <c r="F20" s="10" t="str">
        <f>HYPERLINK("https://is.muni.cz/th/dkf3j/","Měření radonu na ZŠ")</f>
        <v>Měření radonu na ZŠ</v>
      </c>
      <c r="G20" s="11" t="str">
        <f>HYPERLINK("https://is.muni.cz/th/dkf3j/annotation.txt","Anotace")</f>
        <v>Anotace</v>
      </c>
      <c r="L20" s="1" t="s">
        <v>53</v>
      </c>
      <c r="M20" s="1" t="s">
        <v>20</v>
      </c>
      <c r="N20" s="1" t="s">
        <v>21</v>
      </c>
    </row>
    <row r="21" spans="1:20" ht="12.75">
      <c r="A21" s="1">
        <v>254</v>
      </c>
      <c r="B21" s="1">
        <v>2018</v>
      </c>
      <c r="C21" s="2" t="s">
        <v>54</v>
      </c>
      <c r="D21" s="3" t="s">
        <v>31</v>
      </c>
      <c r="E21" s="1" t="s">
        <v>27</v>
      </c>
      <c r="F21" s="10" t="str">
        <f>HYPERLINK("https://is.muni.cz/th/vz2gy/","Analyzátory plynů")</f>
        <v>Analyzátory plynů</v>
      </c>
      <c r="G21" s="11" t="str">
        <f>HYPERLINK("https://is.muni.cz/th/vz2gy/annotation.txt","Anotace")</f>
        <v>Anotace</v>
      </c>
      <c r="J21" s="1" t="s">
        <v>25</v>
      </c>
      <c r="M21" s="1" t="s">
        <v>20</v>
      </c>
      <c r="N21" s="1" t="s">
        <v>21</v>
      </c>
      <c r="P21" s="2"/>
      <c r="Q21" s="2"/>
      <c r="R21" s="2"/>
      <c r="S21" s="2"/>
      <c r="T21" s="2"/>
    </row>
    <row r="22" spans="1:20" ht="12.75">
      <c r="A22" s="1">
        <v>253</v>
      </c>
      <c r="B22" s="1">
        <v>2017</v>
      </c>
      <c r="C22" s="2" t="s">
        <v>55</v>
      </c>
      <c r="D22" s="3" t="s">
        <v>23</v>
      </c>
      <c r="E22" s="1" t="s">
        <v>27</v>
      </c>
      <c r="F22" s="10" t="str">
        <f>HYPERLINK("https://is.muni.cz/th/njia9/","Kosmologie v přírodovědné výuce")</f>
        <v>Kosmologie v přírodovědné výuce</v>
      </c>
      <c r="G22" s="11" t="str">
        <f>HYPERLINK("https://is.muni.cz/th/njia9/annotation.txt","Anotace")</f>
        <v>Anotace</v>
      </c>
      <c r="H22" s="1" t="s">
        <v>19</v>
      </c>
      <c r="M22" s="1" t="s">
        <v>20</v>
      </c>
      <c r="N22" s="1" t="s">
        <v>21</v>
      </c>
      <c r="P22" s="2"/>
      <c r="Q22" s="2"/>
      <c r="R22" s="2"/>
      <c r="S22" s="2"/>
      <c r="T22" s="2"/>
    </row>
    <row r="23" spans="1:20" ht="12.75">
      <c r="A23" s="1">
        <v>252</v>
      </c>
      <c r="B23" s="1">
        <v>2017</v>
      </c>
      <c r="C23" s="2" t="s">
        <v>56</v>
      </c>
      <c r="D23" s="3" t="s">
        <v>31</v>
      </c>
      <c r="E23" s="1" t="s">
        <v>27</v>
      </c>
      <c r="F23" s="10" t="str">
        <f>HYPERLINK("https://is.muni.cz/th/rfnr8/","Vybrané demonstrační experimenty z elektřiny a magnetismu")</f>
        <v>Vybrané demonstrační experimenty z elektřiny a magnetismu</v>
      </c>
      <c r="G23" s="11" t="str">
        <f>HYPERLINK("https://is.muni.cz/th/rfnr8/annotation.txt","Anotace")</f>
        <v>Anotace</v>
      </c>
      <c r="I23" s="1" t="s">
        <v>33</v>
      </c>
      <c r="M23" s="1" t="s">
        <v>20</v>
      </c>
      <c r="N23" s="1" t="s">
        <v>21</v>
      </c>
      <c r="P23" s="2"/>
      <c r="Q23" s="2"/>
      <c r="R23" s="2"/>
      <c r="S23" s="2"/>
      <c r="T23" s="2"/>
    </row>
    <row r="24" spans="1:20" ht="12.75">
      <c r="A24" s="1">
        <v>251</v>
      </c>
      <c r="B24" s="1">
        <v>2017</v>
      </c>
      <c r="C24" s="2" t="s">
        <v>57</v>
      </c>
      <c r="D24" s="3" t="s">
        <v>52</v>
      </c>
      <c r="E24" s="1" t="s">
        <v>27</v>
      </c>
      <c r="F24" s="10" t="str">
        <f>HYPERLINK("https://is.muni.cz/th/oe517/","Fyzika tření")</f>
        <v>Fyzika tření</v>
      </c>
      <c r="G24" s="11" t="str">
        <f>HYPERLINK("https://is.muni.cz/th/oe517/annotation.txt","Anotace")</f>
        <v>Anotace</v>
      </c>
      <c r="J24" s="1" t="s">
        <v>25</v>
      </c>
      <c r="M24" s="1" t="s">
        <v>20</v>
      </c>
      <c r="N24" s="1" t="s">
        <v>21</v>
      </c>
      <c r="P24" s="2"/>
      <c r="Q24" s="2"/>
      <c r="R24" s="2"/>
      <c r="S24" s="2"/>
      <c r="T24" s="2"/>
    </row>
    <row r="25" spans="1:20" ht="12.75">
      <c r="A25" s="1">
        <v>250</v>
      </c>
      <c r="B25" s="1">
        <v>2017</v>
      </c>
      <c r="C25" s="2" t="s">
        <v>58</v>
      </c>
      <c r="D25" s="3" t="s">
        <v>31</v>
      </c>
      <c r="E25" s="1" t="s">
        <v>27</v>
      </c>
      <c r="F25" s="10" t="str">
        <f>HYPERLINK("https://is.muni.cz/th/i7mkw/","Návrh a realizace měřícího rozhranní pro metodu PDS")</f>
        <v>Návrh a realizace měřícího rozhranní pro metodu PDS</v>
      </c>
      <c r="G25" s="11" t="str">
        <f>HYPERLINK("https://is.muni.cz/th/i7mkw/annotation.txt","Anotace")</f>
        <v>Anotace</v>
      </c>
      <c r="J25" s="1" t="s">
        <v>25</v>
      </c>
      <c r="M25" s="1" t="s">
        <v>20</v>
      </c>
      <c r="N25" s="1" t="s">
        <v>21</v>
      </c>
      <c r="P25" s="2"/>
      <c r="Q25" s="2"/>
      <c r="R25" s="2"/>
      <c r="S25" s="2"/>
      <c r="T25" s="2"/>
    </row>
    <row r="26" spans="1:14" ht="12.75">
      <c r="A26" s="1">
        <v>249</v>
      </c>
      <c r="B26" s="1">
        <v>2017</v>
      </c>
      <c r="C26" s="2" t="s">
        <v>59</v>
      </c>
      <c r="D26" s="3" t="s">
        <v>37</v>
      </c>
      <c r="E26" s="1" t="s">
        <v>38</v>
      </c>
      <c r="F26" s="8" t="s">
        <v>60</v>
      </c>
      <c r="G26" s="7" t="s">
        <v>11</v>
      </c>
      <c r="H26" s="1" t="s">
        <v>19</v>
      </c>
      <c r="M26" s="1" t="s">
        <v>61</v>
      </c>
      <c r="N26" s="1" t="s">
        <v>62</v>
      </c>
    </row>
    <row r="27" spans="1:14" ht="12.75">
      <c r="A27" s="1">
        <v>248</v>
      </c>
      <c r="B27" s="1">
        <v>2017</v>
      </c>
      <c r="C27" s="2" t="s">
        <v>63</v>
      </c>
      <c r="D27" s="3" t="s">
        <v>23</v>
      </c>
      <c r="E27" s="1" t="s">
        <v>17</v>
      </c>
      <c r="F27" s="10" t="str">
        <f>HYPERLINK("https://is.muni.cz/th/s43rf/","Badatelsky orientovaná výuka s využitím modulů")</f>
        <v>Badatelsky orientovaná výuka s využitím modulů</v>
      </c>
      <c r="G27" s="12" t="str">
        <f>HYPERLINK("https://is.muni.cz/th/s43rf/annotation.txt","Anotace")</f>
        <v>Anotace</v>
      </c>
      <c r="I27" s="1" t="s">
        <v>33</v>
      </c>
      <c r="M27" s="1" t="s">
        <v>20</v>
      </c>
      <c r="N27" s="1" t="s">
        <v>21</v>
      </c>
    </row>
    <row r="28" spans="1:14" ht="12.75">
      <c r="A28" s="1">
        <v>247</v>
      </c>
      <c r="B28" s="1">
        <v>2017</v>
      </c>
      <c r="C28" s="2" t="s">
        <v>64</v>
      </c>
      <c r="D28" s="3" t="s">
        <v>31</v>
      </c>
      <c r="E28" s="1" t="s">
        <v>17</v>
      </c>
      <c r="F28" s="10" t="str">
        <f>HYPERLINK("https://is.muni.cz/th/fcffw/","Náměty na laboratorní úlohy z fyziky pro žáky ZŠ")</f>
        <v>Náměty na laboratorní úlohy z fyziky pro žáky ZŠ</v>
      </c>
      <c r="G28" s="11" t="str">
        <f>HYPERLINK("https://is.muni.cz/th/fcffw/annotation.txt","Anotace")</f>
        <v>Anotace</v>
      </c>
      <c r="I28" s="1" t="s">
        <v>33</v>
      </c>
      <c r="M28" s="1" t="s">
        <v>20</v>
      </c>
      <c r="N28" s="1" t="s">
        <v>21</v>
      </c>
    </row>
    <row r="29" spans="1:14" ht="12.75">
      <c r="A29" s="1">
        <v>246</v>
      </c>
      <c r="B29" s="1">
        <v>2017</v>
      </c>
      <c r="C29" s="2" t="s">
        <v>65</v>
      </c>
      <c r="D29" s="3" t="s">
        <v>66</v>
      </c>
      <c r="E29" s="1" t="s">
        <v>27</v>
      </c>
      <c r="F29" s="10" t="str">
        <f>HYPERLINK("https://is.muni.cz/th/byofs/","Desková hra pro fyziky")</f>
        <v>Desková hra pro fyziky</v>
      </c>
      <c r="G29" s="11" t="str">
        <f>HYPERLINK("https://is.muni.cz/th/byofs/annotation.txt","Anotace")</f>
        <v>Anotace</v>
      </c>
      <c r="H29" s="1" t="s">
        <v>19</v>
      </c>
      <c r="M29" s="1" t="s">
        <v>20</v>
      </c>
      <c r="N29" s="1" t="s">
        <v>21</v>
      </c>
    </row>
    <row r="30" spans="1:14" ht="12.75">
      <c r="A30" s="1">
        <v>245</v>
      </c>
      <c r="B30" s="1">
        <v>2017</v>
      </c>
      <c r="C30" s="13" t="s">
        <v>67</v>
      </c>
      <c r="D30" s="3" t="s">
        <v>23</v>
      </c>
      <c r="E30" s="1" t="s">
        <v>17</v>
      </c>
      <c r="F30" s="8" t="s">
        <v>68</v>
      </c>
      <c r="G30" s="11" t="str">
        <f>HYPERLINK("https://is.muni.cz/th/uy3mb/annotation.txt","Anotace")</f>
        <v>Anotace</v>
      </c>
      <c r="H30" s="1" t="s">
        <v>19</v>
      </c>
      <c r="M30" s="1" t="s">
        <v>20</v>
      </c>
      <c r="N30" s="1" t="s">
        <v>62</v>
      </c>
    </row>
    <row r="31" spans="1:14" ht="12.75">
      <c r="A31" s="1">
        <v>244</v>
      </c>
      <c r="B31" s="1">
        <v>2016</v>
      </c>
      <c r="C31" s="2" t="s">
        <v>69</v>
      </c>
      <c r="D31" s="3" t="s">
        <v>70</v>
      </c>
      <c r="E31" s="1" t="s">
        <v>27</v>
      </c>
      <c r="F31" s="10" t="str">
        <f>HYPERLINK("https://is.muni.cz/th/f4cyb/","Nadaní žáci ve výuce chemie")</f>
        <v>Nadaní žáci ve výuce chemie</v>
      </c>
      <c r="G31" s="11" t="str">
        <f>HYPERLINK("https://is.muni.cz/th/f4cyb/annotation.txt","Anotace")</f>
        <v>Anotace</v>
      </c>
      <c r="H31" s="1" t="s">
        <v>19</v>
      </c>
      <c r="M31" s="1" t="s">
        <v>20</v>
      </c>
      <c r="N31" s="1" t="s">
        <v>62</v>
      </c>
    </row>
    <row r="32" spans="1:14" ht="12.75">
      <c r="A32" s="1">
        <v>243</v>
      </c>
      <c r="B32" s="1">
        <v>2016</v>
      </c>
      <c r="C32" s="2" t="s">
        <v>71</v>
      </c>
      <c r="D32" s="3" t="s">
        <v>70</v>
      </c>
      <c r="E32" s="1" t="s">
        <v>27</v>
      </c>
      <c r="F32" s="8" t="s">
        <v>72</v>
      </c>
      <c r="G32" s="11" t="str">
        <f>HYPERLINK("https://is.muni.cz/th/x7vp4/annotation.txt","Anotace")</f>
        <v>Anotace</v>
      </c>
      <c r="H32" s="1" t="s">
        <v>19</v>
      </c>
      <c r="M32" s="1" t="s">
        <v>20</v>
      </c>
      <c r="N32" s="1" t="s">
        <v>62</v>
      </c>
    </row>
    <row r="33" spans="1:14" ht="12.75">
      <c r="A33" s="1">
        <v>242</v>
      </c>
      <c r="B33" s="1">
        <v>2015</v>
      </c>
      <c r="C33" s="2" t="s">
        <v>51</v>
      </c>
      <c r="D33" s="3" t="s">
        <v>52</v>
      </c>
      <c r="E33" s="1" t="s">
        <v>27</v>
      </c>
      <c r="F33" s="10" t="str">
        <f>HYPERLINK("https://is.muni.cz/th/xndrh/","Radon a životní prostředí")</f>
        <v>Radon a životní prostředí</v>
      </c>
      <c r="G33" s="11" t="str">
        <f>HYPERLINK("https://is.muni.cz/th/xndrh/annotation.txt","Anotace")</f>
        <v>Anotace</v>
      </c>
      <c r="L33" s="1" t="s">
        <v>53</v>
      </c>
      <c r="M33" s="1" t="s">
        <v>20</v>
      </c>
      <c r="N33" s="1" t="s">
        <v>21</v>
      </c>
    </row>
    <row r="34" spans="1:14" ht="12.75">
      <c r="A34" s="1">
        <v>241</v>
      </c>
      <c r="B34" s="1">
        <v>2015</v>
      </c>
      <c r="C34" s="2" t="s">
        <v>64</v>
      </c>
      <c r="D34" s="3" t="s">
        <v>31</v>
      </c>
      <c r="E34" s="1" t="s">
        <v>27</v>
      </c>
      <c r="F34" s="10" t="str">
        <f>HYPERLINK("https://is.muni.cz/th/btoff/","Výboje v plynech")</f>
        <v>Výboje v plynech</v>
      </c>
      <c r="G34" s="11" t="str">
        <f>HYPERLINK("https://is.muni.cz/th/btoff/annotation.txt","Anotace")</f>
        <v>Anotace</v>
      </c>
      <c r="J34" s="1" t="s">
        <v>25</v>
      </c>
      <c r="M34" s="1" t="s">
        <v>20</v>
      </c>
      <c r="N34" s="1" t="s">
        <v>21</v>
      </c>
    </row>
    <row r="35" spans="1:14" ht="12.75">
      <c r="A35" s="1">
        <v>240</v>
      </c>
      <c r="B35" s="1">
        <v>2015</v>
      </c>
      <c r="C35" s="2" t="s">
        <v>73</v>
      </c>
      <c r="D35" s="3" t="s">
        <v>74</v>
      </c>
      <c r="E35" s="1" t="s">
        <v>17</v>
      </c>
      <c r="F35" s="8" t="s">
        <v>75</v>
      </c>
      <c r="G35" s="11" t="str">
        <f>HYPERLINK("https://is.muni.cz/th/oun8b/annotation.txt","Anotace")</f>
        <v>Anotace</v>
      </c>
      <c r="J35" s="1" t="s">
        <v>25</v>
      </c>
      <c r="M35" s="1" t="s">
        <v>20</v>
      </c>
      <c r="N35" s="1" t="s">
        <v>62</v>
      </c>
    </row>
    <row r="36" spans="1:14" ht="12.75">
      <c r="A36" s="1">
        <v>239</v>
      </c>
      <c r="B36" s="1">
        <v>2014</v>
      </c>
      <c r="C36" s="13" t="s">
        <v>76</v>
      </c>
      <c r="D36" s="3" t="s">
        <v>70</v>
      </c>
      <c r="E36" s="1" t="s">
        <v>17</v>
      </c>
      <c r="F36" s="8" t="s">
        <v>77</v>
      </c>
      <c r="G36" s="11" t="str">
        <f>HYPERLINK("https://is.muni.cz/th/bsmyn/annotation.txt","Anotace")</f>
        <v>Anotace</v>
      </c>
      <c r="H36" s="1" t="s">
        <v>19</v>
      </c>
      <c r="M36" s="1" t="s">
        <v>20</v>
      </c>
      <c r="N36" s="1" t="s">
        <v>62</v>
      </c>
    </row>
    <row r="37" spans="1:14" ht="12.75">
      <c r="A37" s="1">
        <v>238</v>
      </c>
      <c r="B37" s="1">
        <v>2013</v>
      </c>
      <c r="C37" s="2" t="s">
        <v>78</v>
      </c>
      <c r="D37" s="3" t="s">
        <v>79</v>
      </c>
      <c r="E37" s="1" t="s">
        <v>27</v>
      </c>
      <c r="F37" s="8" t="s">
        <v>80</v>
      </c>
      <c r="G37" s="1" t="s">
        <v>21</v>
      </c>
      <c r="I37" s="1" t="s">
        <v>33</v>
      </c>
      <c r="M37" s="1" t="s">
        <v>20</v>
      </c>
      <c r="N37" s="1" t="s">
        <v>62</v>
      </c>
    </row>
    <row r="38" spans="1:14" ht="12.75">
      <c r="A38" s="1">
        <v>237</v>
      </c>
      <c r="B38" s="1">
        <v>2013</v>
      </c>
      <c r="C38" s="2" t="s">
        <v>81</v>
      </c>
      <c r="D38" s="3" t="s">
        <v>79</v>
      </c>
      <c r="E38" s="1" t="s">
        <v>27</v>
      </c>
      <c r="F38" s="3" t="s">
        <v>82</v>
      </c>
      <c r="G38" s="1" t="s">
        <v>21</v>
      </c>
      <c r="I38" s="1" t="s">
        <v>33</v>
      </c>
      <c r="M38" s="1" t="s">
        <v>61</v>
      </c>
      <c r="N38" s="1" t="s">
        <v>62</v>
      </c>
    </row>
    <row r="39" spans="1:14" ht="12.75">
      <c r="A39" s="1">
        <v>236</v>
      </c>
      <c r="B39" s="1">
        <v>2013</v>
      </c>
      <c r="C39" s="2" t="s">
        <v>83</v>
      </c>
      <c r="D39" s="3" t="s">
        <v>74</v>
      </c>
      <c r="E39" s="1" t="s">
        <v>38</v>
      </c>
      <c r="F39" s="3" t="s">
        <v>84</v>
      </c>
      <c r="G39" s="1" t="s">
        <v>21</v>
      </c>
      <c r="H39" s="1" t="s">
        <v>19</v>
      </c>
      <c r="M39" s="1" t="s">
        <v>61</v>
      </c>
      <c r="N39" s="1" t="s">
        <v>62</v>
      </c>
    </row>
    <row r="40" spans="1:14" ht="12.75">
      <c r="A40" s="1">
        <v>235</v>
      </c>
      <c r="B40" s="1">
        <v>2013</v>
      </c>
      <c r="C40" s="2" t="s">
        <v>85</v>
      </c>
      <c r="D40" s="3" t="s">
        <v>79</v>
      </c>
      <c r="E40" s="1" t="s">
        <v>27</v>
      </c>
      <c r="F40" s="3" t="s">
        <v>86</v>
      </c>
      <c r="G40" s="1" t="s">
        <v>21</v>
      </c>
      <c r="H40" s="1" t="s">
        <v>19</v>
      </c>
      <c r="M40" s="1" t="s">
        <v>61</v>
      </c>
      <c r="N40" s="1" t="s">
        <v>62</v>
      </c>
    </row>
    <row r="41" spans="1:14" ht="12.75">
      <c r="A41" s="1">
        <v>234</v>
      </c>
      <c r="B41" s="1">
        <v>2013</v>
      </c>
      <c r="C41" s="2" t="s">
        <v>87</v>
      </c>
      <c r="D41" s="3" t="s">
        <v>52</v>
      </c>
      <c r="E41" s="1" t="s">
        <v>27</v>
      </c>
      <c r="F41" s="10" t="str">
        <f>HYPERLINK("https://is.muni.cz/th/b7wm8/","Významné fyzikální pokusy")</f>
        <v>Významné fyzikální pokusy</v>
      </c>
      <c r="G41" s="11" t="str">
        <f>HYPERLINK("https://is.muni.cz/th/b7wm8/annotation.txt","Anotace")</f>
        <v>Anotace</v>
      </c>
      <c r="K41" s="1" t="s">
        <v>29</v>
      </c>
      <c r="M41" s="1" t="s">
        <v>20</v>
      </c>
      <c r="N41" s="1" t="s">
        <v>21</v>
      </c>
    </row>
    <row r="42" spans="1:14" ht="12.75">
      <c r="A42" s="1">
        <v>233</v>
      </c>
      <c r="B42" s="1">
        <v>2013</v>
      </c>
      <c r="C42" s="2" t="s">
        <v>88</v>
      </c>
      <c r="D42" s="3" t="s">
        <v>74</v>
      </c>
      <c r="E42" s="1" t="s">
        <v>38</v>
      </c>
      <c r="F42" s="3" t="s">
        <v>89</v>
      </c>
      <c r="G42" s="1" t="s">
        <v>21</v>
      </c>
      <c r="H42" s="1" t="s">
        <v>19</v>
      </c>
      <c r="M42" s="1" t="s">
        <v>61</v>
      </c>
      <c r="N42" s="1" t="s">
        <v>90</v>
      </c>
    </row>
    <row r="43" spans="1:14" ht="12.75">
      <c r="A43" s="1">
        <v>232</v>
      </c>
      <c r="B43" s="1">
        <v>2012</v>
      </c>
      <c r="C43" s="2" t="s">
        <v>91</v>
      </c>
      <c r="D43" s="3" t="s">
        <v>92</v>
      </c>
      <c r="E43" s="1" t="s">
        <v>27</v>
      </c>
      <c r="F43" s="10" t="str">
        <f>HYPERLINK("https://is.muni.cz/th/ifkwf/","Archimédés versus Sókratés")</f>
        <v>Archimédés versus Sókratés</v>
      </c>
      <c r="G43" s="11" t="str">
        <f>HYPERLINK("https://is.muni.cz/th/ifkwf/annotation.txt","Anotace")</f>
        <v>Anotace</v>
      </c>
      <c r="K43" s="1" t="s">
        <v>29</v>
      </c>
      <c r="M43" s="1" t="s">
        <v>20</v>
      </c>
      <c r="N43" s="1" t="s">
        <v>21</v>
      </c>
    </row>
    <row r="44" spans="1:14" ht="12.75">
      <c r="A44" s="1">
        <v>231</v>
      </c>
      <c r="B44" s="1">
        <v>2012</v>
      </c>
      <c r="C44" s="2" t="s">
        <v>93</v>
      </c>
      <c r="D44" s="3" t="s">
        <v>94</v>
      </c>
      <c r="E44" s="1" t="s">
        <v>27</v>
      </c>
      <c r="F44" s="10" t="str">
        <f>HYPERLINK("https://is.muni.cz/th/qyczk/","Vliv proměnné intenzity na účinnost fotovoltaického panelu")</f>
        <v>Vliv proměnné intenzity na účinnost fotovoltaického panelu</v>
      </c>
      <c r="G44" s="11" t="str">
        <f>HYPERLINK("https://is.muni.cz/th/qyczk/annotation.txt","Anotace")</f>
        <v>Anotace</v>
      </c>
      <c r="L44" s="1" t="s">
        <v>53</v>
      </c>
      <c r="M44" s="1" t="s">
        <v>20</v>
      </c>
      <c r="N44" s="1" t="s">
        <v>21</v>
      </c>
    </row>
    <row r="45" spans="1:14" ht="12.75">
      <c r="A45" s="1">
        <v>230</v>
      </c>
      <c r="B45" s="1">
        <v>2012</v>
      </c>
      <c r="C45" s="2" t="s">
        <v>95</v>
      </c>
      <c r="D45" s="3" t="s">
        <v>52</v>
      </c>
      <c r="E45" s="1" t="s">
        <v>27</v>
      </c>
      <c r="F45" s="10" t="str">
        <f>HYPERLINK("https://is.muni.cz/th/pbd4s/","Materiály blízké budoucnosti")</f>
        <v>Materiály blízké budoucnosti</v>
      </c>
      <c r="G45" s="11" t="str">
        <f>HYPERLINK("https://is.muni.cz/th/pbd4s/annotation.txt","Anotace")</f>
        <v>Anotace</v>
      </c>
      <c r="J45" s="1" t="s">
        <v>25</v>
      </c>
      <c r="M45" s="1" t="s">
        <v>20</v>
      </c>
      <c r="N45" s="1" t="s">
        <v>62</v>
      </c>
    </row>
    <row r="46" spans="1:14" ht="12.75">
      <c r="A46" s="1">
        <v>229</v>
      </c>
      <c r="B46" s="1">
        <v>2012</v>
      </c>
      <c r="C46" s="2" t="s">
        <v>96</v>
      </c>
      <c r="D46" s="3" t="s">
        <v>52</v>
      </c>
      <c r="E46" s="1" t="s">
        <v>17</v>
      </c>
      <c r="F46" s="10" t="str">
        <f>HYPERLINK("https://is.muni.cz/th/gxnwf/","Fyzikální jevy a metody v biologii")</f>
        <v>Fyzikální jevy a metody v biologii</v>
      </c>
      <c r="G46" s="12" t="str">
        <f>HYPERLINK("https://is.muni.cz/th/gxnwf/annotation.txt","Anotace")</f>
        <v>Anotace</v>
      </c>
      <c r="J46" s="1" t="s">
        <v>25</v>
      </c>
      <c r="M46" s="1" t="s">
        <v>20</v>
      </c>
      <c r="N46" s="1" t="s">
        <v>62</v>
      </c>
    </row>
    <row r="47" spans="1:14" ht="12.75">
      <c r="A47" s="1">
        <v>228</v>
      </c>
      <c r="B47" s="1">
        <v>2012</v>
      </c>
      <c r="C47" s="2" t="s">
        <v>97</v>
      </c>
      <c r="D47" s="3" t="s">
        <v>52</v>
      </c>
      <c r="E47" s="1" t="s">
        <v>17</v>
      </c>
      <c r="F47" s="10" t="str">
        <f>HYPERLINK("https://is.muni.cz/th/y55ir/","Dopady radioaktivního záření na lidský organismus a ochrana před ním")</f>
        <v>Dopady radioaktivního záření na lidský organismus a ochrana před ním</v>
      </c>
      <c r="G47" s="11" t="str">
        <f>HYPERLINK("https://is.muni.cz/th/y55ir/annotation.txt","Anotace")</f>
        <v>Anotace</v>
      </c>
      <c r="L47" s="1" t="s">
        <v>53</v>
      </c>
      <c r="M47" s="1" t="s">
        <v>20</v>
      </c>
      <c r="N47" s="1" t="s">
        <v>62</v>
      </c>
    </row>
    <row r="48" spans="1:14" ht="12.75">
      <c r="A48" s="1">
        <v>227</v>
      </c>
      <c r="B48" s="1">
        <v>2012</v>
      </c>
      <c r="C48" s="2" t="s">
        <v>98</v>
      </c>
      <c r="D48" s="3" t="s">
        <v>74</v>
      </c>
      <c r="E48" s="1" t="s">
        <v>17</v>
      </c>
      <c r="F48" s="10" t="str">
        <f>HYPERLINK("https://is.muni.cz/th/oeke4/","Multimediální pomůcka k výuce fyziky - elektronická podpora experimentů")</f>
        <v>Multimediální pomůcka k výuce fyziky - elektronická podpora experimentů</v>
      </c>
      <c r="G48" s="11" t="str">
        <f>HYPERLINK("https://is.muni.cz/th/oeke4/annotation.txt","Anotace")</f>
        <v>Anotace</v>
      </c>
      <c r="I48" s="1" t="s">
        <v>33</v>
      </c>
      <c r="M48" s="1" t="s">
        <v>20</v>
      </c>
      <c r="N48" s="1" t="s">
        <v>62</v>
      </c>
    </row>
    <row r="49" spans="1:14" ht="12.75">
      <c r="A49" s="1">
        <v>226</v>
      </c>
      <c r="B49" s="1">
        <v>2012</v>
      </c>
      <c r="C49" s="2" t="s">
        <v>99</v>
      </c>
      <c r="D49" s="3" t="s">
        <v>23</v>
      </c>
      <c r="E49" s="1" t="s">
        <v>27</v>
      </c>
      <c r="F49" s="10" t="str">
        <f>HYPERLINK("https://is.muni.cz/th/v0cg9/","Interaktvní přírodovědná centra a učitelé")</f>
        <v>Interaktvní přírodovědná centra a učitelé</v>
      </c>
      <c r="G49" s="11" t="str">
        <f>HYPERLINK("https://is.muni.cz/th/v0cg9/annotation.txt","Anotace")</f>
        <v>Anotace</v>
      </c>
      <c r="H49" s="1" t="s">
        <v>19</v>
      </c>
      <c r="M49" s="1" t="s">
        <v>20</v>
      </c>
      <c r="N49" s="1" t="s">
        <v>62</v>
      </c>
    </row>
    <row r="50" spans="1:14" ht="12.75">
      <c r="A50" s="1">
        <v>225</v>
      </c>
      <c r="B50" s="1">
        <v>2012</v>
      </c>
      <c r="C50" s="2" t="s">
        <v>100</v>
      </c>
      <c r="D50" s="3" t="s">
        <v>94</v>
      </c>
      <c r="E50" s="1" t="s">
        <v>17</v>
      </c>
      <c r="F50" s="10" t="str">
        <f>HYPERLINK("https://is.muni.cz/th/hct23/","Možnosti optimalizace fotovoltaických elektráren")</f>
        <v>Možnosti optimalizace fotovoltaických elektráren</v>
      </c>
      <c r="G50" s="11" t="str">
        <f>HYPERLINK("https://is.muni.cz/th/hct23/annotation.txt","Anotace")</f>
        <v>Anotace</v>
      </c>
      <c r="L50" s="1" t="s">
        <v>53</v>
      </c>
      <c r="M50" s="1" t="s">
        <v>20</v>
      </c>
      <c r="N50" s="1" t="s">
        <v>21</v>
      </c>
    </row>
    <row r="51" spans="1:14" ht="12.75">
      <c r="A51" s="1">
        <v>224</v>
      </c>
      <c r="B51" s="1">
        <v>2012</v>
      </c>
      <c r="C51" s="2" t="s">
        <v>101</v>
      </c>
      <c r="D51" s="3" t="s">
        <v>52</v>
      </c>
      <c r="E51" s="1" t="s">
        <v>17</v>
      </c>
      <c r="F51" s="10" t="str">
        <f>HYPERLINK("https://is.muni.cz/th/vgj0z/","Materiály blízké i vzdálenější budoucnosti")</f>
        <v>Materiály blízké i vzdálenější budoucnosti</v>
      </c>
      <c r="G51" s="12" t="str">
        <f>HYPERLINK("https://is.muni.cz/th/vgj0z/annotation.txt","Anotace")</f>
        <v>Anotace</v>
      </c>
      <c r="J51" s="1" t="s">
        <v>25</v>
      </c>
      <c r="M51" s="1" t="s">
        <v>20</v>
      </c>
      <c r="N51" s="1" t="s">
        <v>62</v>
      </c>
    </row>
    <row r="52" spans="1:14" ht="12.75">
      <c r="A52" s="1">
        <v>223</v>
      </c>
      <c r="B52" s="1">
        <v>2012</v>
      </c>
      <c r="C52" s="2" t="s">
        <v>102</v>
      </c>
      <c r="D52" s="3" t="s">
        <v>37</v>
      </c>
      <c r="E52" s="1" t="s">
        <v>27</v>
      </c>
      <c r="F52" s="10" t="str">
        <f>HYPERLINK("https://is.muni.cz/th/ji2kj/","Měření slunečního záření")</f>
        <v>Měření slunečního záření</v>
      </c>
      <c r="G52" s="11" t="str">
        <f>HYPERLINK("https://is.muni.cz/th/ji2kj/annotation.txt","Anotace")</f>
        <v>Anotace</v>
      </c>
      <c r="L52" s="1" t="s">
        <v>53</v>
      </c>
      <c r="M52" s="1" t="s">
        <v>20</v>
      </c>
      <c r="N52" s="1" t="s">
        <v>21</v>
      </c>
    </row>
    <row r="53" spans="1:14" ht="12.75">
      <c r="A53" s="1">
        <v>222</v>
      </c>
      <c r="B53" s="1">
        <v>2011</v>
      </c>
      <c r="C53" s="2" t="s">
        <v>103</v>
      </c>
      <c r="D53" s="3" t="s">
        <v>23</v>
      </c>
      <c r="E53" s="1" t="s">
        <v>17</v>
      </c>
      <c r="F53" s="10" t="str">
        <f>HYPERLINK("https://is.muni.cz/th/ybql7/","Konkrétní ukázky užití simulačního programu ve výuce")</f>
        <v>Konkrétní ukázky užití simulačního programu ve výuce</v>
      </c>
      <c r="G53" s="11" t="str">
        <f>HYPERLINK("https://is.muni.cz/th/ybql7/annotation.txt","Anotace")</f>
        <v>Anotace</v>
      </c>
      <c r="H53" s="1" t="s">
        <v>19</v>
      </c>
      <c r="M53" s="1" t="s">
        <v>20</v>
      </c>
      <c r="N53" s="1" t="s">
        <v>62</v>
      </c>
    </row>
    <row r="54" spans="1:14" ht="12.75">
      <c r="A54" s="1">
        <v>221</v>
      </c>
      <c r="B54" s="1">
        <v>2011</v>
      </c>
      <c r="C54" s="2" t="s">
        <v>104</v>
      </c>
      <c r="D54" s="3" t="s">
        <v>52</v>
      </c>
      <c r="E54" s="1" t="s">
        <v>27</v>
      </c>
      <c r="F54" s="10" t="str">
        <f>HYPERLINK("https://is.muni.cz/th/bhmjl/","Tvrdost a mikrotvrdost pevných látek")</f>
        <v>Tvrdost a mikrotvrdost pevných látek</v>
      </c>
      <c r="G54" s="11" t="str">
        <f>HYPERLINK("https://is.muni.cz/th/bhmjl/annotation.txt","Anotace")</f>
        <v>Anotace</v>
      </c>
      <c r="J54" s="1" t="s">
        <v>25</v>
      </c>
      <c r="M54" s="1" t="s">
        <v>20</v>
      </c>
      <c r="N54" s="1" t="s">
        <v>62</v>
      </c>
    </row>
    <row r="55" spans="1:14" ht="12.75">
      <c r="A55" s="1">
        <v>220</v>
      </c>
      <c r="B55" s="1">
        <v>2011</v>
      </c>
      <c r="C55" s="2" t="s">
        <v>105</v>
      </c>
      <c r="D55" s="3" t="s">
        <v>79</v>
      </c>
      <c r="E55" s="1" t="s">
        <v>17</v>
      </c>
      <c r="F55" s="10" t="str">
        <f>HYPERLINK("https://is.muni.cz/th/xjgv8/","Interaktivní tabule ve výuce fyziky na základní škole")</f>
        <v>Interaktivní tabule ve výuce fyziky na základní škole</v>
      </c>
      <c r="G55" s="11" t="str">
        <f>HYPERLINK("https://is.muni.cz/th/xjgv8/annotation.txt","Anotace")</f>
        <v>Anotace</v>
      </c>
      <c r="H55" s="1" t="s">
        <v>19</v>
      </c>
      <c r="M55" s="1" t="s">
        <v>20</v>
      </c>
      <c r="N55" s="1" t="s">
        <v>21</v>
      </c>
    </row>
    <row r="56" spans="1:14" ht="12.75">
      <c r="A56" s="1">
        <v>219</v>
      </c>
      <c r="B56" s="1">
        <v>2011</v>
      </c>
      <c r="C56" s="2" t="s">
        <v>106</v>
      </c>
      <c r="D56" s="3" t="s">
        <v>107</v>
      </c>
      <c r="E56" s="1" t="s">
        <v>17</v>
      </c>
      <c r="F56" s="10" t="str">
        <f>HYPERLINK("https://is.muni.cz/th/ncpbw/","Jednoduché žákovské experimenty z elektřiny")</f>
        <v>Jednoduché žákovské experimenty z elektřiny</v>
      </c>
      <c r="G56" s="11" t="str">
        <f>HYPERLINK("https://is.muni.cz/th/ncpbw/annotation.txt","Anotace")</f>
        <v>Anotace</v>
      </c>
      <c r="I56" s="1" t="s">
        <v>33</v>
      </c>
      <c r="M56" s="1" t="s">
        <v>20</v>
      </c>
      <c r="N56" s="1" t="s">
        <v>62</v>
      </c>
    </row>
    <row r="57" spans="1:14" ht="12.75">
      <c r="A57" s="1">
        <v>218</v>
      </c>
      <c r="B57" s="1">
        <v>2011</v>
      </c>
      <c r="C57" s="2" t="s">
        <v>108</v>
      </c>
      <c r="D57" s="3" t="s">
        <v>109</v>
      </c>
      <c r="E57" s="1" t="s">
        <v>17</v>
      </c>
      <c r="F57" s="10" t="str">
        <f>HYPERLINK("https://is.muni.cz/th/mlt6a/","Doplňující pracovní listy pro výuku fyziky na ZŠ")</f>
        <v>Doplňující pracovní listy pro výuku fyziky na ZŠ</v>
      </c>
      <c r="G57" s="11" t="str">
        <f>HYPERLINK("https://is.muni.cz/th/mlt6a/annotation.txt","Anotace")</f>
        <v>Anotace</v>
      </c>
      <c r="H57" s="1" t="s">
        <v>19</v>
      </c>
      <c r="M57" s="1" t="s">
        <v>20</v>
      </c>
      <c r="N57" s="1" t="s">
        <v>21</v>
      </c>
    </row>
    <row r="58" spans="1:14" ht="12.75">
      <c r="A58" s="1">
        <v>217</v>
      </c>
      <c r="B58" s="1">
        <v>2011</v>
      </c>
      <c r="C58" s="2" t="s">
        <v>110</v>
      </c>
      <c r="D58" s="3" t="s">
        <v>23</v>
      </c>
      <c r="E58" s="1" t="s">
        <v>17</v>
      </c>
      <c r="F58" s="10" t="str">
        <f>HYPERLINK("https://is.muni.cz/th/hzvig/","Rozbor výukového software pro fyziku")</f>
        <v>Rozbor výukového software pro fyziku</v>
      </c>
      <c r="G58" s="11" t="str">
        <f>HYPERLINK("https://is.muni.cz/th/hzvig/annotation.txt","Anotace")</f>
        <v>Anotace</v>
      </c>
      <c r="H58" s="1" t="s">
        <v>19</v>
      </c>
      <c r="M58" s="1" t="s">
        <v>20</v>
      </c>
      <c r="N58" s="1" t="s">
        <v>21</v>
      </c>
    </row>
    <row r="59" spans="1:14" ht="12.75">
      <c r="A59" s="1">
        <v>216</v>
      </c>
      <c r="B59" s="1">
        <v>2011</v>
      </c>
      <c r="C59" s="2" t="s">
        <v>111</v>
      </c>
      <c r="D59" s="3" t="s">
        <v>74</v>
      </c>
      <c r="E59" s="1" t="s">
        <v>38</v>
      </c>
      <c r="F59" s="3" t="s">
        <v>112</v>
      </c>
      <c r="G59" s="1" t="s">
        <v>21</v>
      </c>
      <c r="H59" s="1" t="s">
        <v>19</v>
      </c>
      <c r="M59" s="1" t="s">
        <v>61</v>
      </c>
      <c r="N59" s="1" t="s">
        <v>62</v>
      </c>
    </row>
    <row r="60" spans="1:14" ht="12.75">
      <c r="A60" s="1">
        <v>215</v>
      </c>
      <c r="B60" s="1">
        <v>2011</v>
      </c>
      <c r="C60" s="2" t="s">
        <v>113</v>
      </c>
      <c r="D60" s="3" t="s">
        <v>52</v>
      </c>
      <c r="E60" s="1" t="s">
        <v>27</v>
      </c>
      <c r="F60" s="10" t="str">
        <f>HYPERLINK("https://is.muni.cz/th/v1fzh/","Bezpečnost jaderných elektráren")</f>
        <v>Bezpečnost jaderných elektráren</v>
      </c>
      <c r="G60" s="11" t="str">
        <f>HYPERLINK("https://is.muni.cz/th/v1fzh/annotation.txt","Anotace")</f>
        <v>Anotace</v>
      </c>
      <c r="L60" s="1" t="s">
        <v>53</v>
      </c>
      <c r="M60" s="1" t="s">
        <v>20</v>
      </c>
      <c r="N60" s="1" t="s">
        <v>62</v>
      </c>
    </row>
    <row r="61" spans="1:14" ht="12.75">
      <c r="A61" s="1">
        <v>214</v>
      </c>
      <c r="B61" s="1">
        <v>2011</v>
      </c>
      <c r="C61" s="2" t="s">
        <v>114</v>
      </c>
      <c r="D61" s="3" t="s">
        <v>23</v>
      </c>
      <c r="E61" s="1" t="s">
        <v>27</v>
      </c>
      <c r="F61" s="10" t="str">
        <f>HYPERLINK("https://is.muni.cz/th/wtbp6/","Vodíkový pohon v současnosti")</f>
        <v>Vodíkový pohon v současnosti</v>
      </c>
      <c r="G61" s="11" t="str">
        <f>HYPERLINK("https://is.muni.cz/th/wtbp6/annotation.txt","Anotace")</f>
        <v>Anotace</v>
      </c>
      <c r="L61" s="1" t="s">
        <v>53</v>
      </c>
      <c r="M61" s="1" t="s">
        <v>20</v>
      </c>
      <c r="N61" s="1" t="s">
        <v>21</v>
      </c>
    </row>
    <row r="62" spans="1:14" ht="12.75">
      <c r="A62" s="1">
        <v>213</v>
      </c>
      <c r="B62" s="1">
        <v>2011</v>
      </c>
      <c r="C62" s="2" t="s">
        <v>115</v>
      </c>
      <c r="D62" s="3" t="s">
        <v>23</v>
      </c>
      <c r="E62" s="1" t="s">
        <v>17</v>
      </c>
      <c r="F62" s="10" t="str">
        <f>HYPERLINK("https://is.muni.cz/th/w3qg8/","Vzduchoplavba a její význam pro výzkum atmosféry")</f>
        <v>Vzduchoplavba a její význam pro výzkum atmosféry</v>
      </c>
      <c r="G62" s="11" t="str">
        <f>HYPERLINK("https://is.muni.cz/th/w3qg8/annotation.txt","Anotace")</f>
        <v>Anotace</v>
      </c>
      <c r="L62" s="1" t="s">
        <v>53</v>
      </c>
      <c r="M62" s="1" t="s">
        <v>20</v>
      </c>
      <c r="N62" s="1" t="s">
        <v>62</v>
      </c>
    </row>
    <row r="63" spans="1:14" ht="12.75">
      <c r="A63" s="1">
        <v>212</v>
      </c>
      <c r="B63" s="1">
        <v>2011</v>
      </c>
      <c r="C63" s="2" t="s">
        <v>116</v>
      </c>
      <c r="D63" s="3" t="s">
        <v>23</v>
      </c>
      <c r="E63" s="1" t="s">
        <v>17</v>
      </c>
      <c r="F63" s="10" t="str">
        <f>HYPERLINK("https://is.muni.cz/th/lyrhr/","Ekologicky významné vlivy skladování vyhořelého jaderného paliva")</f>
        <v>Ekologicky významné vlivy skladování vyhořelého jaderného paliva</v>
      </c>
      <c r="G63" s="11" t="str">
        <f>HYPERLINK("https://is.muni.cz/th/lyrhr/annotation.txt","Anotace")</f>
        <v>Anotace</v>
      </c>
      <c r="L63" s="1" t="s">
        <v>53</v>
      </c>
      <c r="M63" s="1" t="s">
        <v>20</v>
      </c>
      <c r="N63" s="1" t="s">
        <v>62</v>
      </c>
    </row>
    <row r="64" spans="1:14" ht="12.75">
      <c r="A64" s="1">
        <v>211</v>
      </c>
      <c r="B64" s="1">
        <v>2011</v>
      </c>
      <c r="C64" s="2" t="s">
        <v>117</v>
      </c>
      <c r="D64" s="3" t="s">
        <v>52</v>
      </c>
      <c r="E64" s="1" t="s">
        <v>27</v>
      </c>
      <c r="F64" s="10" t="str">
        <f>HYPERLINK("https://is.muni.cz/th/mbvdl/","Voda")</f>
        <v>Voda</v>
      </c>
      <c r="G64" s="11" t="str">
        <f>HYPERLINK("https://is.muni.cz/th/mbvdl/annotation.txt","Anotace")</f>
        <v>Anotace</v>
      </c>
      <c r="H64" s="1" t="s">
        <v>19</v>
      </c>
      <c r="M64" s="1" t="s">
        <v>20</v>
      </c>
      <c r="N64" s="1" t="s">
        <v>62</v>
      </c>
    </row>
    <row r="65" spans="1:14" ht="12.75">
      <c r="A65" s="1">
        <v>210</v>
      </c>
      <c r="B65" s="1">
        <v>2011</v>
      </c>
      <c r="C65" s="2" t="s">
        <v>118</v>
      </c>
      <c r="D65" s="3" t="s">
        <v>74</v>
      </c>
      <c r="E65" s="1" t="s">
        <v>38</v>
      </c>
      <c r="F65" s="3" t="s">
        <v>119</v>
      </c>
      <c r="G65" s="1" t="s">
        <v>21</v>
      </c>
      <c r="H65" s="1" t="s">
        <v>19</v>
      </c>
      <c r="M65" s="1" t="s">
        <v>61</v>
      </c>
      <c r="N65" s="1" t="s">
        <v>62</v>
      </c>
    </row>
    <row r="66" spans="1:14" ht="12.75">
      <c r="A66" s="1">
        <v>209</v>
      </c>
      <c r="B66" s="1">
        <v>2011</v>
      </c>
      <c r="C66" s="2" t="s">
        <v>120</v>
      </c>
      <c r="D66" s="3" t="s">
        <v>52</v>
      </c>
      <c r="E66" s="1" t="s">
        <v>17</v>
      </c>
      <c r="F66" s="10" t="str">
        <f>HYPERLINK("https://is.muni.cz/th/axc3e/","Fyzikální metody ve zdravotnictví")</f>
        <v>Fyzikální metody ve zdravotnictví</v>
      </c>
      <c r="G66" s="11" t="str">
        <f>HYPERLINK("https://is.muni.cz/th/axc3e/annotation.txt","Anotace")</f>
        <v>Anotace</v>
      </c>
      <c r="I66" s="1" t="s">
        <v>33</v>
      </c>
      <c r="M66" s="1" t="s">
        <v>20</v>
      </c>
      <c r="N66" s="1" t="s">
        <v>62</v>
      </c>
    </row>
    <row r="67" spans="1:14" ht="12.75">
      <c r="A67" s="1">
        <v>208</v>
      </c>
      <c r="B67" s="1">
        <v>2011</v>
      </c>
      <c r="C67" s="2" t="s">
        <v>121</v>
      </c>
      <c r="D67" s="3" t="s">
        <v>52</v>
      </c>
      <c r="E67" s="1" t="s">
        <v>17</v>
      </c>
      <c r="F67" s="10" t="str">
        <f>HYPERLINK("https://is.muni.cz/th/mkqfq/","Voda")</f>
        <v>Voda</v>
      </c>
      <c r="G67" s="11" t="str">
        <f>HYPERLINK("https://is.muni.cz/th/mkqfq/annotation.txt","Anotace")</f>
        <v>Anotace</v>
      </c>
      <c r="H67" s="1" t="s">
        <v>19</v>
      </c>
      <c r="M67" s="1" t="s">
        <v>20</v>
      </c>
      <c r="N67" s="1" t="s">
        <v>62</v>
      </c>
    </row>
    <row r="68" spans="1:14" ht="12.75">
      <c r="A68" s="1">
        <v>207</v>
      </c>
      <c r="B68" s="1">
        <v>2011</v>
      </c>
      <c r="C68" s="2" t="s">
        <v>122</v>
      </c>
      <c r="D68" s="3" t="s">
        <v>37</v>
      </c>
      <c r="E68" s="1" t="s">
        <v>17</v>
      </c>
      <c r="F68" s="10" t="str">
        <f>HYPERLINK("https://is.muni.cz/th/jihjd/","Meteorologie")</f>
        <v>Meteorologie</v>
      </c>
      <c r="G68" s="12" t="str">
        <f>HYPERLINK("https://is.muni.cz/th/jihjd/annotation.txt","Anotace")</f>
        <v>Anotace</v>
      </c>
      <c r="H68" s="1" t="s">
        <v>19</v>
      </c>
      <c r="M68" s="1" t="s">
        <v>20</v>
      </c>
      <c r="N68" s="1" t="s">
        <v>62</v>
      </c>
    </row>
    <row r="69" spans="1:14" ht="12.75">
      <c r="A69" s="1">
        <v>206</v>
      </c>
      <c r="B69" s="1">
        <v>2011</v>
      </c>
      <c r="C69" s="2" t="s">
        <v>123</v>
      </c>
      <c r="D69" s="3" t="s">
        <v>23</v>
      </c>
      <c r="E69" s="1" t="s">
        <v>17</v>
      </c>
      <c r="F69" s="10" t="str">
        <f>HYPERLINK("https://is.muni.cz/th/nopmg/","Fyzika v kriminalistice")</f>
        <v>Fyzika v kriminalistice</v>
      </c>
      <c r="G69" s="11" t="str">
        <f>HYPERLINK("https://is.muni.cz/th/nopmg/annotation.txt","Anotace")</f>
        <v>Anotace</v>
      </c>
      <c r="H69" s="1" t="s">
        <v>19</v>
      </c>
      <c r="M69" s="1" t="s">
        <v>20</v>
      </c>
      <c r="N69" s="1" t="s">
        <v>62</v>
      </c>
    </row>
    <row r="70" spans="1:14" ht="12.75">
      <c r="A70" s="1">
        <v>205</v>
      </c>
      <c r="B70" s="1">
        <v>2011</v>
      </c>
      <c r="C70" s="2" t="s">
        <v>124</v>
      </c>
      <c r="D70" s="3" t="s">
        <v>23</v>
      </c>
      <c r="E70" s="1" t="s">
        <v>17</v>
      </c>
      <c r="F70" s="10" t="str">
        <f>HYPERLINK("https://is.muni.cz/th/n5ukm/","Odvod tepla a vývin tepla vyhořelého jaderného paliva v úložištích")</f>
        <v>Odvod tepla a vývin tepla vyhořelého jaderného paliva v úložištích</v>
      </c>
      <c r="G70" s="11" t="str">
        <f>HYPERLINK("https://is.muni.cz/th/n5ukm/annotation.txt","Anotace")</f>
        <v>Anotace</v>
      </c>
      <c r="L70" s="1" t="s">
        <v>53</v>
      </c>
      <c r="M70" s="1" t="s">
        <v>20</v>
      </c>
      <c r="N70" s="1" t="s">
        <v>62</v>
      </c>
    </row>
    <row r="71" spans="1:14" ht="12.75">
      <c r="A71" s="1">
        <v>204</v>
      </c>
      <c r="B71" s="1">
        <v>2011</v>
      </c>
      <c r="C71" s="2" t="s">
        <v>125</v>
      </c>
      <c r="D71" s="3" t="s">
        <v>107</v>
      </c>
      <c r="E71" s="1" t="s">
        <v>17</v>
      </c>
      <c r="F71" s="10" t="str">
        <f>HYPERLINK("https://is.muni.cz/th/f5r9y/","Úlohy a experimenty z televizních pořadů")</f>
        <v>Úlohy a experimenty z televizních pořadů</v>
      </c>
      <c r="G71" s="11" t="str">
        <f>HYPERLINK("https://is.muni.cz/th/f5r9y/annotation.txt","Anotace")</f>
        <v>Anotace</v>
      </c>
      <c r="I71" s="1" t="s">
        <v>33</v>
      </c>
      <c r="M71" s="1" t="s">
        <v>20</v>
      </c>
      <c r="N71" s="1" t="s">
        <v>62</v>
      </c>
    </row>
    <row r="72" spans="1:14" ht="12.75">
      <c r="A72" s="1">
        <v>203</v>
      </c>
      <c r="B72" s="1">
        <v>2010</v>
      </c>
      <c r="C72" s="2" t="s">
        <v>126</v>
      </c>
      <c r="D72" s="3" t="s">
        <v>23</v>
      </c>
      <c r="E72" s="1" t="s">
        <v>27</v>
      </c>
      <c r="F72" s="10" t="str">
        <f>HYPERLINK("https://is.muni.cz/th/kbtm8/","Hodnocení malé vodní elektrárny v osadě Háj")</f>
        <v>Hodnocení malé vodní elektrárny v osadě Háj</v>
      </c>
      <c r="G72" s="11" t="str">
        <f>HYPERLINK("https://is.muni.cz/th/kbtm8/annotation.txt","Anotace")</f>
        <v>Anotace</v>
      </c>
      <c r="L72" s="1" t="s">
        <v>53</v>
      </c>
      <c r="M72" s="1" t="s">
        <v>20</v>
      </c>
      <c r="N72" s="1" t="s">
        <v>21</v>
      </c>
    </row>
    <row r="73" spans="1:14" ht="12.75">
      <c r="A73" s="1">
        <v>202</v>
      </c>
      <c r="B73" s="1">
        <v>2010</v>
      </c>
      <c r="C73" s="2" t="s">
        <v>127</v>
      </c>
      <c r="D73" s="3" t="s">
        <v>52</v>
      </c>
      <c r="E73" s="1" t="s">
        <v>27</v>
      </c>
      <c r="F73" s="10" t="str">
        <f>HYPERLINK("https://is.muni.cz/th/mek5o/","Významné historické fyzikální experimenty")</f>
        <v>Významné historické fyzikální experimenty</v>
      </c>
      <c r="G73" s="11" t="str">
        <f>HYPERLINK("https://is.muni.cz/th/mek5o/annotation.txt","Anotace")</f>
        <v>Anotace</v>
      </c>
      <c r="H73" s="1" t="s">
        <v>29</v>
      </c>
      <c r="M73" s="1" t="s">
        <v>20</v>
      </c>
      <c r="N73" s="1" t="s">
        <v>62</v>
      </c>
    </row>
    <row r="74" spans="1:14" ht="12.75">
      <c r="A74" s="1">
        <v>201</v>
      </c>
      <c r="B74" s="1">
        <v>2010</v>
      </c>
      <c r="C74" s="2" t="s">
        <v>128</v>
      </c>
      <c r="D74" s="3" t="s">
        <v>107</v>
      </c>
      <c r="E74" s="1" t="s">
        <v>27</v>
      </c>
      <c r="F74" s="10" t="str">
        <f>HYPERLINK("https://is.muni.cz/th/v4kr6/","Fyzika ve filmu")</f>
        <v>Fyzika ve filmu</v>
      </c>
      <c r="G74" s="11" t="str">
        <f>HYPERLINK("https://is.muni.cz/th/v4kr6/annotation.txt","Anotace")</f>
        <v>Anotace</v>
      </c>
      <c r="H74" s="1" t="s">
        <v>19</v>
      </c>
      <c r="M74" s="1" t="s">
        <v>20</v>
      </c>
      <c r="N74" s="1" t="s">
        <v>21</v>
      </c>
    </row>
    <row r="75" spans="1:14" ht="12.75">
      <c r="A75" s="1">
        <v>200</v>
      </c>
      <c r="B75" s="1">
        <v>2010</v>
      </c>
      <c r="C75" s="2" t="s">
        <v>129</v>
      </c>
      <c r="D75" s="3" t="s">
        <v>52</v>
      </c>
      <c r="E75" s="1" t="s">
        <v>17</v>
      </c>
      <c r="F75" s="10" t="str">
        <f>HYPERLINK("https://is.muni.cz/th/rivl0/","Radon a životní prostředí")</f>
        <v>Radon a životní prostředí</v>
      </c>
      <c r="G75" s="11" t="str">
        <f>HYPERLINK("https://is.muni.cz/th/rivl0/annotation.txt","Anotace")</f>
        <v>Anotace</v>
      </c>
      <c r="L75" s="1" t="s">
        <v>53</v>
      </c>
      <c r="M75" s="1" t="s">
        <v>20</v>
      </c>
      <c r="N75" s="1" t="s">
        <v>62</v>
      </c>
    </row>
    <row r="76" spans="1:14" ht="12.75">
      <c r="A76" s="1">
        <v>199</v>
      </c>
      <c r="B76" s="1">
        <v>2010</v>
      </c>
      <c r="C76" s="2" t="s">
        <v>130</v>
      </c>
      <c r="D76" s="3" t="s">
        <v>52</v>
      </c>
      <c r="E76" s="1" t="s">
        <v>27</v>
      </c>
      <c r="F76" s="10" t="str">
        <f>HYPERLINK("https://is.muni.cz/th/m7s9g/","Energie a životní prostředí")</f>
        <v>Energie a životní prostředí</v>
      </c>
      <c r="G76" s="11" t="str">
        <f>HYPERLINK("https://is.muni.cz/th/m7s9g/annotation.txt","Anotace")</f>
        <v>Anotace</v>
      </c>
      <c r="L76" s="1" t="s">
        <v>53</v>
      </c>
      <c r="M76" s="1" t="s">
        <v>20</v>
      </c>
      <c r="N76" s="1" t="s">
        <v>21</v>
      </c>
    </row>
    <row r="77" spans="1:14" ht="12.75">
      <c r="A77" s="1">
        <v>198</v>
      </c>
      <c r="B77" s="1">
        <v>2010</v>
      </c>
      <c r="C77" s="2" t="s">
        <v>131</v>
      </c>
      <c r="D77" s="3" t="s">
        <v>52</v>
      </c>
      <c r="E77" s="1" t="s">
        <v>17</v>
      </c>
      <c r="F77" s="10" t="str">
        <f>HYPERLINK("https://is.muni.cz/th/fh39g/","Fyzika tření")</f>
        <v>Fyzika tření</v>
      </c>
      <c r="G77" s="12" t="str">
        <f>HYPERLINK("https://is.muni.cz/th/fh39g/annotation.txt","Anotace")</f>
        <v>Anotace</v>
      </c>
      <c r="J77" s="1" t="s">
        <v>25</v>
      </c>
      <c r="M77" s="1" t="s">
        <v>20</v>
      </c>
      <c r="N77" s="1" t="s">
        <v>21</v>
      </c>
    </row>
    <row r="78" spans="1:14" ht="12.75">
      <c r="A78" s="1">
        <v>197</v>
      </c>
      <c r="B78" s="1">
        <v>2010</v>
      </c>
      <c r="C78" s="2" t="s">
        <v>96</v>
      </c>
      <c r="D78" s="3" t="s">
        <v>52</v>
      </c>
      <c r="E78" s="1" t="s">
        <v>27</v>
      </c>
      <c r="F78" s="10" t="str">
        <f>HYPERLINK("https://is.muni.cz/th/seyuo/","Fyzika a biologie")</f>
        <v>Fyzika a biologie</v>
      </c>
      <c r="G78" s="11" t="str">
        <f>HYPERLINK("https://is.muni.cz/th/seyuo/annotation.txt","Anotace")</f>
        <v>Anotace</v>
      </c>
      <c r="H78" s="1" t="s">
        <v>19</v>
      </c>
      <c r="M78" s="1" t="s">
        <v>20</v>
      </c>
      <c r="N78" s="1" t="s">
        <v>21</v>
      </c>
    </row>
    <row r="79" spans="1:14" ht="12.75">
      <c r="A79" s="1">
        <v>196</v>
      </c>
      <c r="B79" s="1">
        <v>2010</v>
      </c>
      <c r="C79" s="2" t="s">
        <v>132</v>
      </c>
      <c r="D79" s="3" t="s">
        <v>74</v>
      </c>
      <c r="E79" s="1" t="s">
        <v>17</v>
      </c>
      <c r="F79" s="3" t="s">
        <v>133</v>
      </c>
      <c r="G79" s="1" t="s">
        <v>21</v>
      </c>
      <c r="I79" s="1" t="s">
        <v>33</v>
      </c>
      <c r="M79" s="1" t="s">
        <v>61</v>
      </c>
      <c r="N79" s="1" t="s">
        <v>62</v>
      </c>
    </row>
    <row r="80" spans="1:14" ht="12.75">
      <c r="A80" s="1">
        <v>195</v>
      </c>
      <c r="B80" s="1">
        <v>2010</v>
      </c>
      <c r="C80" s="2" t="s">
        <v>100</v>
      </c>
      <c r="D80" s="3" t="s">
        <v>94</v>
      </c>
      <c r="E80" s="1" t="s">
        <v>27</v>
      </c>
      <c r="F80" s="10" t="str">
        <f>HYPERLINK("https://is.muni.cz/th/qxcm3/","Vliv zastínění na činnost fotovoltaických systémů")</f>
        <v>Vliv zastínění na činnost fotovoltaických systémů</v>
      </c>
      <c r="G80" s="11" t="str">
        <f>HYPERLINK("https://is.muni.cz/th/qxcm3/annotation.txt","Anotace")</f>
        <v>Anotace</v>
      </c>
      <c r="L80" s="1" t="s">
        <v>53</v>
      </c>
      <c r="M80" s="1" t="s">
        <v>20</v>
      </c>
      <c r="N80" s="1" t="s">
        <v>21</v>
      </c>
    </row>
    <row r="81" spans="1:14" ht="12.75">
      <c r="A81" s="1">
        <v>194</v>
      </c>
      <c r="B81" s="1">
        <v>2010</v>
      </c>
      <c r="C81" s="2" t="s">
        <v>134</v>
      </c>
      <c r="D81" s="3" t="s">
        <v>52</v>
      </c>
      <c r="E81" s="1" t="s">
        <v>17</v>
      </c>
      <c r="F81" s="10" t="str">
        <f>HYPERLINK("https://is.muni.cz/th/ly0yf/","Tvorba e-learningového kurzu Fyzika")</f>
        <v>Tvorba e-learningového kurzu Fyzika</v>
      </c>
      <c r="G81" s="11" t="str">
        <f>HYPERLINK("https://is.muni.cz/th/ly0yf/annotation.txt","Anotace")</f>
        <v>Anotace</v>
      </c>
      <c r="H81" s="1" t="s">
        <v>19</v>
      </c>
      <c r="M81" s="1" t="s">
        <v>20</v>
      </c>
      <c r="N81" s="1" t="s">
        <v>21</v>
      </c>
    </row>
    <row r="82" spans="1:14" ht="12.75">
      <c r="A82" s="1">
        <v>193</v>
      </c>
      <c r="B82" s="1">
        <v>2010</v>
      </c>
      <c r="C82" s="2" t="s">
        <v>135</v>
      </c>
      <c r="D82" s="3" t="s">
        <v>94</v>
      </c>
      <c r="E82" s="1" t="s">
        <v>17</v>
      </c>
      <c r="F82" s="10" t="str">
        <f>HYPERLINK("https://is.muni.cz/th/h70cz/","Přednášky předmětu Matematika pro fyziky - záznam a digitalizace")</f>
        <v>Přednášky předmětu Matematika pro fyziky - záznam a digitalizace</v>
      </c>
      <c r="G82" s="11" t="str">
        <f>HYPERLINK("https://is.muni.cz/th/h70cz/annotation.txt","Anotace")</f>
        <v>Anotace</v>
      </c>
      <c r="H82" s="1" t="s">
        <v>19</v>
      </c>
      <c r="M82" s="1" t="s">
        <v>20</v>
      </c>
      <c r="N82" s="1" t="s">
        <v>21</v>
      </c>
    </row>
    <row r="83" spans="1:14" ht="12.75">
      <c r="A83" s="1">
        <v>192</v>
      </c>
      <c r="B83" s="1">
        <v>2010</v>
      </c>
      <c r="C83" s="2" t="s">
        <v>136</v>
      </c>
      <c r="D83" s="3" t="s">
        <v>52</v>
      </c>
      <c r="E83" s="1" t="s">
        <v>137</v>
      </c>
      <c r="F83" s="3" t="s">
        <v>138</v>
      </c>
      <c r="G83" s="1" t="s">
        <v>21</v>
      </c>
      <c r="L83" s="1" t="s">
        <v>53</v>
      </c>
      <c r="M83" s="1" t="s">
        <v>61</v>
      </c>
      <c r="N83" s="1" t="s">
        <v>62</v>
      </c>
    </row>
    <row r="84" spans="1:14" ht="12.75">
      <c r="A84" s="1">
        <v>191</v>
      </c>
      <c r="B84" s="1">
        <v>2010</v>
      </c>
      <c r="C84" s="2" t="s">
        <v>139</v>
      </c>
      <c r="D84" s="3" t="s">
        <v>74</v>
      </c>
      <c r="E84" s="1" t="s">
        <v>38</v>
      </c>
      <c r="F84" s="3" t="s">
        <v>119</v>
      </c>
      <c r="G84" s="1" t="s">
        <v>21</v>
      </c>
      <c r="H84" s="1" t="s">
        <v>19</v>
      </c>
      <c r="M84" s="1" t="s">
        <v>61</v>
      </c>
      <c r="N84" s="1" t="s">
        <v>62</v>
      </c>
    </row>
    <row r="85" spans="1:14" ht="12.75">
      <c r="A85" s="1">
        <v>190</v>
      </c>
      <c r="B85" s="1">
        <v>2010</v>
      </c>
      <c r="C85" s="2" t="s">
        <v>140</v>
      </c>
      <c r="D85" s="3" t="s">
        <v>52</v>
      </c>
      <c r="E85" s="1" t="s">
        <v>27</v>
      </c>
      <c r="F85" s="10" t="str">
        <f>HYPERLINK("https://is.muni.cz/th/a7j1r/","Radon a životní prostředí")</f>
        <v>Radon a životní prostředí</v>
      </c>
      <c r="G85" s="11" t="str">
        <f>HYPERLINK("https://is.muni.cz/th/nz683/annotation.txt","Anotace")</f>
        <v>Anotace</v>
      </c>
      <c r="L85" s="1" t="s">
        <v>53</v>
      </c>
      <c r="M85" s="1" t="s">
        <v>20</v>
      </c>
      <c r="N85" s="1" t="s">
        <v>62</v>
      </c>
    </row>
    <row r="86" spans="1:14" ht="12.75">
      <c r="A86" s="1">
        <v>189</v>
      </c>
      <c r="B86" s="1">
        <v>2010</v>
      </c>
      <c r="C86" s="13" t="s">
        <v>141</v>
      </c>
      <c r="D86" s="1" t="s">
        <v>21</v>
      </c>
      <c r="E86" s="1" t="s">
        <v>137</v>
      </c>
      <c r="F86" s="8" t="s">
        <v>142</v>
      </c>
      <c r="G86" s="11" t="str">
        <f>HYPERLINK("https://is.muni.cz/th/njvbi/annotation.txt","Anotace")</f>
        <v>Anotace</v>
      </c>
      <c r="J86" s="1" t="s">
        <v>25</v>
      </c>
      <c r="M86" s="1" t="s">
        <v>20</v>
      </c>
      <c r="N86" s="1" t="s">
        <v>21</v>
      </c>
    </row>
    <row r="87" spans="1:14" ht="12.75">
      <c r="A87" s="1">
        <v>188</v>
      </c>
      <c r="B87" s="1">
        <v>2010</v>
      </c>
      <c r="C87" s="13" t="s">
        <v>143</v>
      </c>
      <c r="D87" s="3" t="s">
        <v>144</v>
      </c>
      <c r="E87" s="1" t="s">
        <v>17</v>
      </c>
      <c r="F87" s="8" t="s">
        <v>145</v>
      </c>
      <c r="G87" s="11" t="str">
        <f>HYPERLINK("https://is.muni.cz/th/aubi2/annotation.txt","Anotace")</f>
        <v>Anotace</v>
      </c>
      <c r="L87" s="1" t="s">
        <v>53</v>
      </c>
      <c r="M87" s="1" t="s">
        <v>20</v>
      </c>
      <c r="N87" s="1" t="s">
        <v>21</v>
      </c>
    </row>
    <row r="88" spans="1:14" ht="12.75">
      <c r="A88" s="1">
        <v>187</v>
      </c>
      <c r="B88" s="1">
        <v>2009</v>
      </c>
      <c r="C88" s="2" t="s">
        <v>103</v>
      </c>
      <c r="D88" s="3" t="s">
        <v>23</v>
      </c>
      <c r="E88" s="1" t="s">
        <v>27</v>
      </c>
      <c r="F88" s="10" t="str">
        <f>HYPERLINK("https://is.muni.cz/th/u4rt3/","Základní elektronické obvody - realizace simulačních obvodů")</f>
        <v>Základní elektronické obvody - realizace simulačních obvodů</v>
      </c>
      <c r="G88" s="14" t="str">
        <f>HYPERLINK("https://is.muni.cz/th/u4rt3/annotation.txt","Anotace")</f>
        <v>Anotace</v>
      </c>
      <c r="H88" s="1" t="s">
        <v>19</v>
      </c>
      <c r="M88" s="1" t="s">
        <v>20</v>
      </c>
      <c r="N88" s="1" t="s">
        <v>21</v>
      </c>
    </row>
    <row r="89" spans="1:14" ht="12.75">
      <c r="A89" s="1">
        <v>186</v>
      </c>
      <c r="B89" s="1">
        <v>2009</v>
      </c>
      <c r="C89" s="2" t="s">
        <v>146</v>
      </c>
      <c r="D89" s="3" t="s">
        <v>23</v>
      </c>
      <c r="E89" s="1" t="s">
        <v>17</v>
      </c>
      <c r="F89" s="10" t="str">
        <f>HYPERLINK("https://is.muni.cz/th/auf5z/","Animace fyzikálních jevů v problematice změn klimatu pro školní vzdělávání")</f>
        <v>Animace fyzikálních jevů v problematice změn klimatu pro školní vzdělávání</v>
      </c>
      <c r="G89" s="11" t="str">
        <f>HYPERLINK("https://is.muni.cz/th/auf5z/annotation.txt","Anotace")</f>
        <v>Anotace</v>
      </c>
      <c r="L89" s="1" t="s">
        <v>53</v>
      </c>
      <c r="M89" s="1" t="s">
        <v>20</v>
      </c>
      <c r="N89" s="1" t="s">
        <v>62</v>
      </c>
    </row>
    <row r="90" spans="1:14" ht="12.75">
      <c r="A90" s="1">
        <v>185</v>
      </c>
      <c r="B90" s="1">
        <v>2009</v>
      </c>
      <c r="C90" s="2" t="s">
        <v>105</v>
      </c>
      <c r="D90" s="3" t="s">
        <v>147</v>
      </c>
      <c r="E90" s="1" t="s">
        <v>27</v>
      </c>
      <c r="F90" s="10" t="str">
        <f>HYPERLINK("https://is.muni.cz/th/ivqxr/","Koordinace učiva fyziky a zeměpisu na ZŠ")</f>
        <v>Koordinace učiva fyziky a zeměpisu na ZŠ</v>
      </c>
      <c r="G90" s="14" t="str">
        <f>HYPERLINK("https://is.muni.cz/th/ivqxr/annotation.txt","Anotace")</f>
        <v>Anotace</v>
      </c>
      <c r="H90" s="1" t="s">
        <v>19</v>
      </c>
      <c r="M90" s="1" t="s">
        <v>20</v>
      </c>
      <c r="N90" s="1" t="s">
        <v>62</v>
      </c>
    </row>
    <row r="91" spans="1:14" ht="12.75">
      <c r="A91" s="1">
        <v>184</v>
      </c>
      <c r="B91" s="1">
        <v>2009</v>
      </c>
      <c r="C91" s="2" t="s">
        <v>106</v>
      </c>
      <c r="D91" s="3" t="s">
        <v>107</v>
      </c>
      <c r="E91" s="1" t="s">
        <v>27</v>
      </c>
      <c r="F91" s="10" t="str">
        <f>HYPERLINK("https://is.muni.cz/th/vsuab/","Elektrické obvody v základním vzdělávání")</f>
        <v>Elektrické obvody v základním vzdělávání</v>
      </c>
      <c r="G91" s="14" t="str">
        <f>HYPERLINK("https://is.muni.cz/th/vsuab/annotation.txt","Anotace")</f>
        <v>Anotace</v>
      </c>
      <c r="H91" s="1" t="s">
        <v>19</v>
      </c>
      <c r="M91" s="1" t="s">
        <v>20</v>
      </c>
      <c r="N91" s="1" t="s">
        <v>62</v>
      </c>
    </row>
    <row r="92" spans="1:14" ht="12.75">
      <c r="A92" s="1">
        <v>183</v>
      </c>
      <c r="B92" s="1">
        <v>2009</v>
      </c>
      <c r="C92" s="2" t="s">
        <v>148</v>
      </c>
      <c r="D92" s="3" t="s">
        <v>94</v>
      </c>
      <c r="E92" s="1" t="s">
        <v>17</v>
      </c>
      <c r="F92" s="10" t="str">
        <f>HYPERLINK("https://is.muni.cz/th/q1ez4/","Studium polovodičových struktur nedestruktivními metodami")</f>
        <v>Studium polovodičových struktur nedestruktivními metodami</v>
      </c>
      <c r="G92" s="12" t="str">
        <f>HYPERLINK("https://is.muni.cz/th/q1ez4/annotation.txt","Anotace")</f>
        <v>Anotace</v>
      </c>
      <c r="J92" s="1" t="s">
        <v>25</v>
      </c>
      <c r="M92" s="1" t="s">
        <v>20</v>
      </c>
      <c r="N92" s="1" t="s">
        <v>62</v>
      </c>
    </row>
    <row r="93" spans="1:14" ht="12.75">
      <c r="A93" s="1">
        <v>182</v>
      </c>
      <c r="B93" s="1">
        <v>2009</v>
      </c>
      <c r="C93" s="2" t="s">
        <v>149</v>
      </c>
      <c r="D93" s="3" t="s">
        <v>52</v>
      </c>
      <c r="E93" s="1" t="s">
        <v>27</v>
      </c>
      <c r="F93" s="10" t="str">
        <f>HYPERLINK("https://is.muni.cz/th/phwx2/","Fyzika a biomechanika některých míčových her")</f>
        <v>Fyzika a biomechanika některých míčových her</v>
      </c>
      <c r="G93" s="14" t="str">
        <f>HYPERLINK("https://is.muni.cz/th/phwx2/annotation.txt","Anotace")</f>
        <v>Anotace</v>
      </c>
      <c r="J93" s="1" t="s">
        <v>25</v>
      </c>
      <c r="M93" s="1" t="s">
        <v>20</v>
      </c>
      <c r="N93" s="1" t="s">
        <v>62</v>
      </c>
    </row>
    <row r="94" spans="1:14" ht="12.75">
      <c r="A94" s="1">
        <v>181</v>
      </c>
      <c r="B94" s="1">
        <v>2009</v>
      </c>
      <c r="C94" s="2" t="s">
        <v>150</v>
      </c>
      <c r="D94" s="3" t="s">
        <v>23</v>
      </c>
      <c r="E94" s="1" t="s">
        <v>17</v>
      </c>
      <c r="F94" s="10" t="str">
        <f>HYPERLINK("https://is.muni.cz/th/yuvzj/","Větrné elektrárny od A do Z")</f>
        <v>Větrné elektrárny od A do Z</v>
      </c>
      <c r="G94" s="11" t="str">
        <f>HYPERLINK("https://is.muni.cz/th/yuvzj/annotation.txt","Anotace")</f>
        <v>Anotace</v>
      </c>
      <c r="L94" s="1" t="s">
        <v>53</v>
      </c>
      <c r="M94" s="1" t="s">
        <v>20</v>
      </c>
      <c r="N94" s="1" t="s">
        <v>62</v>
      </c>
    </row>
    <row r="95" spans="1:14" ht="12.75">
      <c r="A95" s="1">
        <v>180</v>
      </c>
      <c r="B95" s="1">
        <v>2009</v>
      </c>
      <c r="C95" s="2" t="s">
        <v>151</v>
      </c>
      <c r="D95" s="3" t="s">
        <v>94</v>
      </c>
      <c r="E95" s="1" t="s">
        <v>17</v>
      </c>
      <c r="F95" s="10" t="str">
        <f>HYPERLINK("https://is.muni.cz/th/y65bu/","Historie fyziky ve vztahu k vyučování fyziky na 2. stupni ZŠ")</f>
        <v>Historie fyziky ve vztahu k vyučování fyziky na 2. stupni ZŠ</v>
      </c>
      <c r="G95" s="11" t="str">
        <f>HYPERLINK("https://is.muni.cz/th/y65bu/annotation.txt","Anotace")</f>
        <v>Anotace</v>
      </c>
      <c r="K95" s="1" t="s">
        <v>29</v>
      </c>
      <c r="M95" s="1" t="s">
        <v>20</v>
      </c>
      <c r="N95" s="1" t="s">
        <v>62</v>
      </c>
    </row>
    <row r="96" spans="1:14" ht="12.75">
      <c r="A96" s="1">
        <v>179</v>
      </c>
      <c r="B96" s="1">
        <v>2009</v>
      </c>
      <c r="C96" s="2" t="s">
        <v>152</v>
      </c>
      <c r="D96" s="3" t="s">
        <v>94</v>
      </c>
      <c r="E96" s="1" t="s">
        <v>17</v>
      </c>
      <c r="F96" s="10" t="str">
        <f>HYPERLINK("https://is.muni.cz/th/c9jrf/","Studium vybraných aspektů fotovoltaického systému")</f>
        <v>Studium vybraných aspektů fotovoltaického systému</v>
      </c>
      <c r="G96" s="11" t="str">
        <f>HYPERLINK("https://is.muni.cz/th/c9jrf/annotation.txt","Anotace")</f>
        <v>Anotace</v>
      </c>
      <c r="L96" s="1" t="s">
        <v>53</v>
      </c>
      <c r="M96" s="1" t="s">
        <v>20</v>
      </c>
      <c r="N96" s="1" t="s">
        <v>62</v>
      </c>
    </row>
    <row r="97" spans="1:14" ht="12.75">
      <c r="A97" s="1">
        <v>178</v>
      </c>
      <c r="B97" s="1">
        <v>2009</v>
      </c>
      <c r="C97" s="2" t="s">
        <v>153</v>
      </c>
      <c r="D97" s="3" t="s">
        <v>94</v>
      </c>
      <c r="E97" s="1" t="s">
        <v>17</v>
      </c>
      <c r="F97" s="10" t="str">
        <f>HYPERLINK("https://is.muni.cz/th/tgcl5/","Textilní materiály ve výuce fyzice")</f>
        <v>Textilní materiály ve výuce fyzice</v>
      </c>
      <c r="G97" s="11" t="str">
        <f>HYPERLINK("https://is.muni.cz/th/tgcl5/annotation.txt","Anotace")</f>
        <v>Anotace</v>
      </c>
      <c r="H97" s="1" t="s">
        <v>19</v>
      </c>
      <c r="M97" s="1" t="s">
        <v>20</v>
      </c>
      <c r="N97" s="1" t="s">
        <v>62</v>
      </c>
    </row>
    <row r="98" spans="1:14" ht="12.75">
      <c r="A98" s="1">
        <v>177</v>
      </c>
      <c r="B98" s="1">
        <v>2009</v>
      </c>
      <c r="C98" s="2" t="s">
        <v>154</v>
      </c>
      <c r="D98" s="3" t="s">
        <v>52</v>
      </c>
      <c r="E98" s="1" t="s">
        <v>27</v>
      </c>
      <c r="F98" s="3" t="s">
        <v>155</v>
      </c>
      <c r="G98" s="1" t="s">
        <v>21</v>
      </c>
      <c r="J98" s="1" t="s">
        <v>25</v>
      </c>
      <c r="M98" s="1" t="s">
        <v>61</v>
      </c>
      <c r="N98" s="1" t="s">
        <v>62</v>
      </c>
    </row>
    <row r="99" spans="1:14" ht="12.75">
      <c r="A99" s="1">
        <v>176</v>
      </c>
      <c r="B99" s="1">
        <v>2009</v>
      </c>
      <c r="C99" s="2" t="s">
        <v>156</v>
      </c>
      <c r="D99" s="3" t="s">
        <v>157</v>
      </c>
      <c r="E99" s="1" t="s">
        <v>17</v>
      </c>
      <c r="F99" s="3" t="s">
        <v>158</v>
      </c>
      <c r="G99" s="1" t="s">
        <v>21</v>
      </c>
      <c r="H99" s="1" t="s">
        <v>19</v>
      </c>
      <c r="M99" s="1" t="s">
        <v>61</v>
      </c>
      <c r="N99" s="1" t="s">
        <v>62</v>
      </c>
    </row>
    <row r="100" spans="1:14" ht="12.75">
      <c r="A100" s="1">
        <v>175</v>
      </c>
      <c r="B100" s="1">
        <v>2009</v>
      </c>
      <c r="C100" s="2" t="s">
        <v>159</v>
      </c>
      <c r="D100" s="3" t="s">
        <v>94</v>
      </c>
      <c r="E100" s="1" t="s">
        <v>27</v>
      </c>
      <c r="F100" s="10" t="str">
        <f>HYPERLINK("https://is.muni.cz/th/t7svq/","Vývoj znalostí fyziky na ZŠ")</f>
        <v>Vývoj znalostí fyziky na ZŠ</v>
      </c>
      <c r="G100" s="14" t="str">
        <f>HYPERLINK("https://is.muni.cz/th/t7svq/annotation.txt","Anotace")</f>
        <v>Anotace</v>
      </c>
      <c r="H100" s="1" t="s">
        <v>19</v>
      </c>
      <c r="M100" s="1" t="s">
        <v>20</v>
      </c>
      <c r="N100" s="1" t="s">
        <v>62</v>
      </c>
    </row>
    <row r="101" spans="1:14" ht="12.75">
      <c r="A101" s="1">
        <v>174</v>
      </c>
      <c r="B101" s="1">
        <v>2009</v>
      </c>
      <c r="C101" s="2" t="s">
        <v>160</v>
      </c>
      <c r="D101" s="3" t="s">
        <v>94</v>
      </c>
      <c r="E101" s="1" t="s">
        <v>17</v>
      </c>
      <c r="F101" s="10" t="str">
        <f>HYPERLINK("https://is.muni.cz/th/z3r5q/","Dálkově řízený fyzikální experiment")</f>
        <v>Dálkově řízený fyzikální experiment</v>
      </c>
      <c r="G101" s="11" t="str">
        <f>HYPERLINK("https://is.muni.cz/th/z3r5q/annotation.txt","Anotace")</f>
        <v>Anotace</v>
      </c>
      <c r="I101" s="1" t="s">
        <v>33</v>
      </c>
      <c r="M101" s="1" t="s">
        <v>20</v>
      </c>
      <c r="N101" s="1" t="s">
        <v>62</v>
      </c>
    </row>
    <row r="102" spans="1:14" ht="12.75">
      <c r="A102" s="1">
        <v>173</v>
      </c>
      <c r="B102" s="1">
        <v>2009</v>
      </c>
      <c r="C102" s="2" t="s">
        <v>161</v>
      </c>
      <c r="D102" s="3" t="s">
        <v>52</v>
      </c>
      <c r="E102" s="1" t="s">
        <v>27</v>
      </c>
      <c r="F102" s="10" t="str">
        <f>HYPERLINK("https://is.muni.cz/th/x8f7q/","Globální oteplování")</f>
        <v>Globální oteplování</v>
      </c>
      <c r="G102" s="14" t="str">
        <f>HYPERLINK("https://is.muni.cz/th/x8f7q/annotation.txt","Anotace")</f>
        <v>Anotace</v>
      </c>
      <c r="L102" s="1" t="s">
        <v>53</v>
      </c>
      <c r="M102" s="1" t="s">
        <v>20</v>
      </c>
      <c r="N102" s="1" t="s">
        <v>62</v>
      </c>
    </row>
    <row r="103" spans="1:14" ht="12.75">
      <c r="A103" s="1">
        <v>172</v>
      </c>
      <c r="B103" s="1">
        <v>2009</v>
      </c>
      <c r="C103" s="2" t="s">
        <v>120</v>
      </c>
      <c r="D103" s="3" t="s">
        <v>52</v>
      </c>
      <c r="E103" s="1" t="s">
        <v>27</v>
      </c>
      <c r="F103" s="10" t="str">
        <f>HYPERLINK("https://is.muni.cz/th/e46t1/","Mpembův jev")</f>
        <v>Mpembův jev</v>
      </c>
      <c r="G103" s="14" t="str">
        <f>HYPERLINK("https://is.muni.cz/th/e46t1/annotation.txt","Anotace")</f>
        <v>Anotace</v>
      </c>
      <c r="J103" s="1" t="s">
        <v>25</v>
      </c>
      <c r="M103" s="1" t="s">
        <v>20</v>
      </c>
      <c r="N103" s="1" t="s">
        <v>62</v>
      </c>
    </row>
    <row r="104" spans="1:14" ht="12.75">
      <c r="A104" s="1">
        <v>171</v>
      </c>
      <c r="B104" s="1">
        <v>2009</v>
      </c>
      <c r="C104" s="2" t="s">
        <v>121</v>
      </c>
      <c r="D104" s="3" t="s">
        <v>52</v>
      </c>
      <c r="E104" s="1" t="s">
        <v>27</v>
      </c>
      <c r="F104" s="10" t="str">
        <f>HYPERLINK("https://is.muni.cz/th/zqjz0/","Významné historické fyzikální experimenty")</f>
        <v>Významné historické fyzikální experimenty</v>
      </c>
      <c r="G104" s="14" t="str">
        <f>HYPERLINK("https://is.muni.cz/th/zqjz0/annotation.txt","Anotace")</f>
        <v>Anotace</v>
      </c>
      <c r="K104" s="1" t="s">
        <v>29</v>
      </c>
      <c r="M104" s="1" t="s">
        <v>20</v>
      </c>
      <c r="N104" s="1" t="s">
        <v>62</v>
      </c>
    </row>
    <row r="105" spans="1:14" ht="12.75">
      <c r="A105" s="1">
        <v>170</v>
      </c>
      <c r="B105" s="1">
        <v>2009</v>
      </c>
      <c r="C105" s="2" t="s">
        <v>101</v>
      </c>
      <c r="D105" s="3" t="s">
        <v>52</v>
      </c>
      <c r="E105" s="1" t="s">
        <v>27</v>
      </c>
      <c r="F105" s="10" t="str">
        <f>HYPERLINK("https://is.muni.cz/th/dgb9o/","Nobelovy ceny za fyziku, obor astrofyzika")</f>
        <v>Nobelovy ceny za fyziku, obor astrofyzika</v>
      </c>
      <c r="G105" s="14" t="str">
        <f>HYPERLINK("https://is.muni.cz/th/dgb9o/annotation.txt","Anotace")</f>
        <v>Anotace</v>
      </c>
      <c r="K105" s="1" t="s">
        <v>29</v>
      </c>
      <c r="M105" s="1" t="s">
        <v>20</v>
      </c>
      <c r="N105" s="1" t="s">
        <v>21</v>
      </c>
    </row>
    <row r="106" spans="1:14" ht="12.75">
      <c r="A106" s="1">
        <v>169</v>
      </c>
      <c r="B106" s="1">
        <v>2009</v>
      </c>
      <c r="C106" s="2" t="s">
        <v>122</v>
      </c>
      <c r="D106" s="3" t="s">
        <v>37</v>
      </c>
      <c r="E106" s="1" t="s">
        <v>27</v>
      </c>
      <c r="F106" s="10" t="str">
        <f>HYPERLINK("https://is.muni.cz/th/ard6a/","Meteorologie na základní škole")</f>
        <v>Meteorologie na základní škole</v>
      </c>
      <c r="G106" s="14" t="str">
        <f>HYPERLINK("https://is.muni.cz/th/ard6a/annotation.txt","Anotace")</f>
        <v>Anotace</v>
      </c>
      <c r="H106" s="1" t="s">
        <v>19</v>
      </c>
      <c r="M106" s="1" t="s">
        <v>20</v>
      </c>
      <c r="N106" s="1" t="s">
        <v>21</v>
      </c>
    </row>
    <row r="107" spans="1:14" ht="12.75">
      <c r="A107" s="1">
        <v>168</v>
      </c>
      <c r="B107" s="1">
        <v>2009</v>
      </c>
      <c r="C107" s="2" t="s">
        <v>123</v>
      </c>
      <c r="D107" s="3" t="s">
        <v>107</v>
      </c>
      <c r="E107" s="1" t="s">
        <v>27</v>
      </c>
      <c r="F107" s="10" t="str">
        <f>HYPERLINK("https://is.muni.cz/th/b6ixf/","Motory ve fyzikálním učivu")</f>
        <v>Motory ve fyzikálním učivu</v>
      </c>
      <c r="G107" s="14" t="str">
        <f>HYPERLINK("https://is.muni.cz/th/b6ixf/annotation.txt","Anotace")</f>
        <v>Anotace</v>
      </c>
      <c r="H107" s="1" t="s">
        <v>19</v>
      </c>
      <c r="M107" s="1" t="s">
        <v>20</v>
      </c>
      <c r="N107" s="1" t="s">
        <v>62</v>
      </c>
    </row>
    <row r="108" spans="1:14" ht="12.75">
      <c r="A108" s="1">
        <v>167</v>
      </c>
      <c r="B108" s="1">
        <v>2009</v>
      </c>
      <c r="C108" s="2" t="s">
        <v>124</v>
      </c>
      <c r="D108" s="3" t="s">
        <v>23</v>
      </c>
      <c r="E108" s="1" t="s">
        <v>27</v>
      </c>
      <c r="F108" s="10" t="str">
        <f>HYPERLINK("https://is.muni.cz/th/m7job/","Úlohy environmentálního fyzikálního praktika se zaměřením na půdu")</f>
        <v>Úlohy environmentálního fyzikálního praktika se zaměřením na půdu</v>
      </c>
      <c r="G108" s="14" t="str">
        <f>HYPERLINK("https://is.muni.cz/th/m7job/annotation.txt","Anotace")</f>
        <v>Anotace</v>
      </c>
      <c r="L108" s="1" t="s">
        <v>53</v>
      </c>
      <c r="M108" s="1" t="s">
        <v>20</v>
      </c>
      <c r="N108" s="1" t="s">
        <v>62</v>
      </c>
    </row>
    <row r="109" spans="1:14" ht="12.75">
      <c r="A109" s="1">
        <v>166</v>
      </c>
      <c r="B109" s="1">
        <v>2009</v>
      </c>
      <c r="C109" s="2" t="s">
        <v>141</v>
      </c>
      <c r="D109" s="3" t="s">
        <v>94</v>
      </c>
      <c r="E109" s="1" t="s">
        <v>17</v>
      </c>
      <c r="F109" s="10" t="str">
        <f>HYPERLINK("https://is.muni.cz/th/tigvg/","Studium degradace tenkých vrstev")</f>
        <v>Studium degradace tenkých vrstev</v>
      </c>
      <c r="G109" s="12" t="str">
        <f>HYPERLINK("https://is.muni.cz/th/tigvg/annotation.txt","Anotace")</f>
        <v>Anotace</v>
      </c>
      <c r="J109" s="1" t="s">
        <v>25</v>
      </c>
      <c r="M109" s="1" t="s">
        <v>20</v>
      </c>
      <c r="N109" s="1" t="s">
        <v>62</v>
      </c>
    </row>
    <row r="110" spans="1:14" ht="12.75">
      <c r="A110" s="1">
        <v>165</v>
      </c>
      <c r="B110" s="1">
        <v>2009</v>
      </c>
      <c r="C110" s="2" t="s">
        <v>125</v>
      </c>
      <c r="D110" s="3" t="s">
        <v>107</v>
      </c>
      <c r="E110" s="1" t="s">
        <v>27</v>
      </c>
      <c r="F110" s="10" t="str">
        <f>HYPERLINK("https://is.muni.cz/th/cbjij/","Fyzika v počítačových hrách")</f>
        <v>Fyzika v počítačových hrách</v>
      </c>
      <c r="G110" s="14" t="str">
        <f>HYPERLINK("https://is.muni.cz/th/cbjij/annotation.txt","Anotace")</f>
        <v>Anotace</v>
      </c>
      <c r="H110" s="1" t="s">
        <v>19</v>
      </c>
      <c r="M110" s="1" t="s">
        <v>20</v>
      </c>
      <c r="N110" s="1" t="s">
        <v>62</v>
      </c>
    </row>
    <row r="111" spans="1:14" ht="12.75">
      <c r="A111" s="1">
        <v>164</v>
      </c>
      <c r="B111" s="1">
        <v>2009</v>
      </c>
      <c r="C111" s="2" t="s">
        <v>162</v>
      </c>
      <c r="D111" s="3" t="s">
        <v>52</v>
      </c>
      <c r="E111" s="1" t="s">
        <v>17</v>
      </c>
      <c r="F111" s="10" t="str">
        <f>HYPERLINK("https://is.muni.cz/th/qndym/","Život a dílo významných fyziků britského původu")</f>
        <v>Život a dílo významných fyziků britského původu</v>
      </c>
      <c r="G111" s="11" t="str">
        <f>HYPERLINK("https://is.muni.cz/th/qndym/annotation.txt","Anotace")</f>
        <v>Anotace</v>
      </c>
      <c r="K111" s="1" t="s">
        <v>29</v>
      </c>
      <c r="M111" s="1" t="s">
        <v>20</v>
      </c>
      <c r="N111" s="1" t="s">
        <v>62</v>
      </c>
    </row>
    <row r="112" spans="1:14" ht="12.75">
      <c r="A112" s="1">
        <v>163</v>
      </c>
      <c r="B112" s="1">
        <v>2009</v>
      </c>
      <c r="C112" s="2" t="s">
        <v>163</v>
      </c>
      <c r="D112" s="3" t="s">
        <v>74</v>
      </c>
      <c r="E112" s="1" t="s">
        <v>164</v>
      </c>
      <c r="F112" s="10" t="str">
        <f>HYPERLINK("https://is.muni.cz/th/drsn8/","Dovednosti žáků ve výuce fyziky na základní škole")</f>
        <v>Dovednosti žáků ve výuce fyziky na základní škole</v>
      </c>
      <c r="G112" s="11" t="str">
        <f>HYPERLINK("https://is.muni.cz/th/drsn8/annotation.txt","Anotace")</f>
        <v>Anotace</v>
      </c>
      <c r="H112" s="1" t="s">
        <v>19</v>
      </c>
      <c r="M112" s="1" t="s">
        <v>20</v>
      </c>
      <c r="N112" s="1" t="s">
        <v>62</v>
      </c>
    </row>
    <row r="113" spans="1:14" ht="12.75">
      <c r="A113" s="1">
        <v>162</v>
      </c>
      <c r="B113" s="1">
        <v>2009</v>
      </c>
      <c r="C113" s="13" t="s">
        <v>165</v>
      </c>
      <c r="D113" s="3" t="s">
        <v>52</v>
      </c>
      <c r="E113" s="1" t="s">
        <v>27</v>
      </c>
      <c r="F113" s="8" t="s">
        <v>166</v>
      </c>
      <c r="G113" s="11" t="str">
        <f>HYPERLINK("https://is.muni.cz/th/ct7e1/annotation.txt","Anotace")</f>
        <v>Anotace</v>
      </c>
      <c r="J113" s="1" t="s">
        <v>25</v>
      </c>
      <c r="M113" s="1" t="s">
        <v>20</v>
      </c>
      <c r="N113" s="1" t="s">
        <v>21</v>
      </c>
    </row>
    <row r="114" spans="1:14" ht="12.75">
      <c r="A114" s="1">
        <v>161</v>
      </c>
      <c r="B114" s="1">
        <v>2008</v>
      </c>
      <c r="C114" s="2" t="s">
        <v>167</v>
      </c>
      <c r="D114" s="3" t="s">
        <v>74</v>
      </c>
      <c r="E114" s="1" t="s">
        <v>17</v>
      </c>
      <c r="F114" s="10" t="str">
        <f>HYPERLINK("https://is.muni.cz/th/e7s8y/","Mezipředmětové vztahy ve výuce matematiky a fyziky")</f>
        <v>Mezipředmětové vztahy ve výuce matematiky a fyziky</v>
      </c>
      <c r="G114" s="12" t="str">
        <f>HYPERLINK("https://is.muni.cz/th/e7s8y/annotation.txt","Anotace")</f>
        <v>Anotace</v>
      </c>
      <c r="H114" s="1" t="s">
        <v>19</v>
      </c>
      <c r="M114" s="1" t="s">
        <v>20</v>
      </c>
      <c r="N114" s="1" t="s">
        <v>62</v>
      </c>
    </row>
    <row r="115" spans="1:14" ht="12.75">
      <c r="A115" s="1">
        <v>160</v>
      </c>
      <c r="B115" s="1">
        <v>2008</v>
      </c>
      <c r="C115" s="2" t="s">
        <v>168</v>
      </c>
      <c r="D115" s="3" t="s">
        <v>52</v>
      </c>
      <c r="E115" s="1" t="s">
        <v>27</v>
      </c>
      <c r="F115" s="10" t="str">
        <f>HYPERLINK("https://is.muni.cz/th/d62e4/","Zajímavosti z historie fyziky")</f>
        <v>Zajímavosti z historie fyziky</v>
      </c>
      <c r="G115" s="11" t="str">
        <f>HYPERLINK("https://is.muni.cz/th/d62e4/annotation.txt","Anotace")</f>
        <v>Anotace</v>
      </c>
      <c r="K115" s="1" t="s">
        <v>29</v>
      </c>
      <c r="M115" s="1" t="s">
        <v>20</v>
      </c>
      <c r="N115" s="1" t="s">
        <v>62</v>
      </c>
    </row>
    <row r="116" spans="1:14" ht="12.75">
      <c r="A116" s="1">
        <v>159</v>
      </c>
      <c r="B116" s="1">
        <v>2008</v>
      </c>
      <c r="C116" s="2" t="s">
        <v>169</v>
      </c>
      <c r="D116" s="3" t="s">
        <v>74</v>
      </c>
      <c r="E116" s="1" t="s">
        <v>17</v>
      </c>
      <c r="F116" s="10" t="str">
        <f>HYPERLINK("https://is.muni.cz/th/gr8gt/","Smyslové klamy v přírodovědné výuce na základní škole")</f>
        <v>Smyslové klamy v přírodovědné výuce na základní škole</v>
      </c>
      <c r="G116" s="11" t="str">
        <f>HYPERLINK("https://is.muni.cz/th/gr8gt/annotation.txt","Anotace")</f>
        <v>Anotace</v>
      </c>
      <c r="H116" s="1" t="s">
        <v>19</v>
      </c>
      <c r="M116" s="1" t="s">
        <v>20</v>
      </c>
      <c r="N116" s="1" t="s">
        <v>21</v>
      </c>
    </row>
    <row r="117" spans="1:14" ht="12.75">
      <c r="A117" s="1">
        <v>158</v>
      </c>
      <c r="B117" s="1">
        <v>2008</v>
      </c>
      <c r="C117" s="2" t="s">
        <v>129</v>
      </c>
      <c r="D117" s="3" t="s">
        <v>52</v>
      </c>
      <c r="E117" s="1" t="s">
        <v>27</v>
      </c>
      <c r="F117" s="10" t="str">
        <f>HYPERLINK("https://is.muni.cz/th/x5v5j/","Radon a životní prostředí")</f>
        <v>Radon a životní prostředí</v>
      </c>
      <c r="G117" s="11" t="str">
        <f>HYPERLINK("https://is.muni.cz/th/x5v5j/annotation.txt","Anotace")</f>
        <v>Anotace</v>
      </c>
      <c r="L117" s="1" t="s">
        <v>53</v>
      </c>
      <c r="M117" s="1" t="s">
        <v>20</v>
      </c>
      <c r="N117" s="1" t="s">
        <v>62</v>
      </c>
    </row>
    <row r="118" spans="1:14" ht="12.75">
      <c r="A118" s="1">
        <v>157</v>
      </c>
      <c r="B118" s="1">
        <v>2008</v>
      </c>
      <c r="C118" s="2" t="s">
        <v>170</v>
      </c>
      <c r="D118" s="3" t="s">
        <v>52</v>
      </c>
      <c r="E118" s="1" t="s">
        <v>27</v>
      </c>
      <c r="F118" s="10" t="str">
        <f>HYPERLINK("https://is.muni.cz/th/i9k97/","Energie a životní prostředí")</f>
        <v>Energie a životní prostředí</v>
      </c>
      <c r="G118" s="11" t="str">
        <f>HYPERLINK("https://is.muni.cz/th/i9k97/annotation.txt","Anotace")</f>
        <v>Anotace</v>
      </c>
      <c r="L118" s="1" t="s">
        <v>53</v>
      </c>
      <c r="M118" s="1" t="s">
        <v>20</v>
      </c>
      <c r="N118" s="1" t="s">
        <v>62</v>
      </c>
    </row>
    <row r="119" spans="1:14" ht="12.75">
      <c r="A119" s="1">
        <v>156</v>
      </c>
      <c r="B119" s="1">
        <v>2008</v>
      </c>
      <c r="C119" s="2" t="s">
        <v>131</v>
      </c>
      <c r="D119" s="3" t="s">
        <v>52</v>
      </c>
      <c r="E119" s="1" t="s">
        <v>27</v>
      </c>
      <c r="F119" s="10" t="str">
        <f>HYPERLINK("https://is.muni.cz/th/n5y15/","Fyzika tření")</f>
        <v>Fyzika tření</v>
      </c>
      <c r="G119" s="11" t="str">
        <f>HYPERLINK("https://is.muni.cz/th/n5y15/annotation.txt","Anotace")</f>
        <v>Anotace</v>
      </c>
      <c r="J119" s="1" t="s">
        <v>25</v>
      </c>
      <c r="M119" s="1" t="s">
        <v>20</v>
      </c>
      <c r="N119" s="1" t="s">
        <v>62</v>
      </c>
    </row>
    <row r="120" spans="1:14" ht="12.75">
      <c r="A120" s="1">
        <v>155</v>
      </c>
      <c r="B120" s="1">
        <v>2008</v>
      </c>
      <c r="C120" s="2" t="s">
        <v>171</v>
      </c>
      <c r="D120" s="3" t="s">
        <v>74</v>
      </c>
      <c r="E120" s="1" t="s">
        <v>17</v>
      </c>
      <c r="F120" s="10" t="str">
        <f>HYPERLINK("https://is.muni.cz/th/es3xo/","Výukové metody ve fyzice na základní škole")</f>
        <v>Výukové metody ve fyzice na základní škole</v>
      </c>
      <c r="G120" s="11" t="str">
        <f>HYPERLINK("https://is.muni.cz/th/es3xo/annotation.txt","Anotace")</f>
        <v>Anotace</v>
      </c>
      <c r="H120" s="1" t="s">
        <v>19</v>
      </c>
      <c r="M120" s="1" t="s">
        <v>20</v>
      </c>
      <c r="N120" s="1" t="s">
        <v>21</v>
      </c>
    </row>
    <row r="121" spans="1:14" ht="12.75">
      <c r="A121" s="1">
        <v>154</v>
      </c>
      <c r="B121" s="1">
        <v>2008</v>
      </c>
      <c r="C121" s="2" t="s">
        <v>172</v>
      </c>
      <c r="D121" s="3" t="s">
        <v>74</v>
      </c>
      <c r="E121" s="1" t="s">
        <v>17</v>
      </c>
      <c r="F121" s="3" t="s">
        <v>173</v>
      </c>
      <c r="G121" s="1" t="s">
        <v>21</v>
      </c>
      <c r="I121" s="1" t="s">
        <v>33</v>
      </c>
      <c r="M121" s="1" t="s">
        <v>61</v>
      </c>
      <c r="N121" s="1" t="s">
        <v>90</v>
      </c>
    </row>
    <row r="122" spans="1:14" ht="12.75">
      <c r="A122" s="1">
        <v>153</v>
      </c>
      <c r="B122" s="1">
        <v>2008</v>
      </c>
      <c r="C122" s="2" t="s">
        <v>174</v>
      </c>
      <c r="D122" s="3" t="s">
        <v>74</v>
      </c>
      <c r="E122" s="1" t="s">
        <v>17</v>
      </c>
      <c r="F122" s="10" t="str">
        <f>HYPERLINK("https://is.muni.cz/th/ii7al/","Bezpečnost v elektrotechnice - informační a výukový materiál pro ZŠ a SŠ")</f>
        <v>Bezpečnost v elektrotechnice - informační a výukový materiál pro ZŠ a SŠ</v>
      </c>
      <c r="G122" s="11" t="str">
        <f>HYPERLINK("https://is.muni.cz/th/ii7al/annotation.txt","Anotace")</f>
        <v>Anotace</v>
      </c>
      <c r="H122" s="1" t="s">
        <v>19</v>
      </c>
      <c r="M122" s="1" t="s">
        <v>20</v>
      </c>
      <c r="N122" s="1" t="s">
        <v>21</v>
      </c>
    </row>
    <row r="123" spans="1:14" ht="12.75">
      <c r="A123" s="1">
        <v>152</v>
      </c>
      <c r="B123" s="1">
        <v>2008</v>
      </c>
      <c r="C123" s="2" t="s">
        <v>175</v>
      </c>
      <c r="D123" s="3" t="s">
        <v>74</v>
      </c>
      <c r="E123" s="1" t="s">
        <v>17</v>
      </c>
      <c r="F123" s="10" t="str">
        <f>HYPERLINK("https://is.muni.cz/th/yppyg/","Elektrochemické děje v úlohách ve výuce fyziky a chemie na základní škole")</f>
        <v>Elektrochemické děje v úlohách ve výuce fyziky a chemie na základní škole</v>
      </c>
      <c r="G123" s="11" t="str">
        <f>HYPERLINK("https://is.muni.cz/th/yppyg/annotation.txt","Anotace")</f>
        <v>Anotace</v>
      </c>
      <c r="H123" s="1" t="s">
        <v>19</v>
      </c>
      <c r="M123" s="1" t="s">
        <v>20</v>
      </c>
      <c r="N123" s="1" t="s">
        <v>21</v>
      </c>
    </row>
    <row r="124" spans="1:14" ht="12.75">
      <c r="A124" s="1">
        <v>151</v>
      </c>
      <c r="B124" s="1">
        <v>2008</v>
      </c>
      <c r="C124" s="2" t="s">
        <v>115</v>
      </c>
      <c r="D124" s="3" t="s">
        <v>52</v>
      </c>
      <c r="E124" s="1" t="s">
        <v>27</v>
      </c>
      <c r="F124" s="10" t="str">
        <f>HYPERLINK("https://is.muni.cz/th/m41nn/","Historie fyziky raného novověku")</f>
        <v>Historie fyziky raného novověku</v>
      </c>
      <c r="G124" s="11" t="str">
        <f>HYPERLINK("https://is.muni.cz/th/m41nn/annotation.txt","Anotace")</f>
        <v>Anotace</v>
      </c>
      <c r="K124" s="1" t="s">
        <v>29</v>
      </c>
      <c r="M124" s="1" t="s">
        <v>20</v>
      </c>
      <c r="N124" s="1" t="s">
        <v>62</v>
      </c>
    </row>
    <row r="125" spans="1:14" ht="12.75">
      <c r="A125" s="1">
        <v>150</v>
      </c>
      <c r="B125" s="1">
        <v>2008</v>
      </c>
      <c r="C125" s="2" t="s">
        <v>176</v>
      </c>
      <c r="D125" s="3" t="s">
        <v>147</v>
      </c>
      <c r="E125" s="1" t="s">
        <v>27</v>
      </c>
      <c r="F125" s="10" t="str">
        <f>HYPERLINK("https://is.muni.cz/th/ooytg/","Jízdní kolo ve výuce fyziky")</f>
        <v>Jízdní kolo ve výuce fyziky</v>
      </c>
      <c r="G125" s="11" t="str">
        <f>HYPERLINK("https://is.muni.cz/th/ooytg/annotation.txt","Anotace")</f>
        <v>Anotace</v>
      </c>
      <c r="H125" s="1" t="s">
        <v>19</v>
      </c>
      <c r="M125" s="1" t="s">
        <v>20</v>
      </c>
      <c r="N125" s="1" t="s">
        <v>62</v>
      </c>
    </row>
    <row r="126" spans="1:14" ht="12.75">
      <c r="A126" s="1">
        <v>149</v>
      </c>
      <c r="B126" s="1">
        <v>2008</v>
      </c>
      <c r="C126" s="2" t="s">
        <v>177</v>
      </c>
      <c r="D126" s="3" t="s">
        <v>23</v>
      </c>
      <c r="E126" s="1" t="s">
        <v>27</v>
      </c>
      <c r="F126" s="10" t="str">
        <f>HYPERLINK("https://is.muni.cz/th/wnf9w/","Paliva pro spalovací motory")</f>
        <v>Paliva pro spalovací motory</v>
      </c>
      <c r="G126" s="11" t="str">
        <f>HYPERLINK("https://is.muni.cz/th/wnf9w/annotation.txt","Anotace")</f>
        <v>Anotace</v>
      </c>
      <c r="J126" s="1" t="s">
        <v>25</v>
      </c>
      <c r="M126" s="1" t="s">
        <v>20</v>
      </c>
      <c r="N126" s="1" t="s">
        <v>62</v>
      </c>
    </row>
    <row r="127" spans="1:14" ht="12.75">
      <c r="A127" s="1">
        <v>148</v>
      </c>
      <c r="B127" s="1">
        <v>2008</v>
      </c>
      <c r="C127" s="2" t="s">
        <v>134</v>
      </c>
      <c r="D127" s="3" t="s">
        <v>52</v>
      </c>
      <c r="E127" s="1" t="s">
        <v>27</v>
      </c>
      <c r="F127" s="10" t="str">
        <f>HYPERLINK("https://is.muni.cz/th/cbysw/","Urychlovače elementárních částic")</f>
        <v>Urychlovače elementárních částic</v>
      </c>
      <c r="G127" s="11" t="str">
        <f>HYPERLINK("https://is.muni.cz/th/cbysw/annotation.txt","Anotace")</f>
        <v>Anotace</v>
      </c>
      <c r="J127" s="1" t="s">
        <v>25</v>
      </c>
      <c r="M127" s="1" t="s">
        <v>20</v>
      </c>
      <c r="N127" s="1" t="s">
        <v>21</v>
      </c>
    </row>
    <row r="128" spans="1:14" ht="12.75">
      <c r="A128" s="1">
        <v>147</v>
      </c>
      <c r="B128" s="1">
        <v>2008</v>
      </c>
      <c r="C128" s="2" t="s">
        <v>178</v>
      </c>
      <c r="D128" s="3" t="s">
        <v>179</v>
      </c>
      <c r="E128" s="1" t="s">
        <v>17</v>
      </c>
      <c r="F128" s="10" t="str">
        <f>HYPERLINK("https://is.muni.cz/th/ps1nc/","Úlohy z astronomie na základní škole")</f>
        <v>Úlohy z astronomie na základní škole</v>
      </c>
      <c r="G128" s="12" t="str">
        <f>HYPERLINK("https://is.muni.cz/th/ps1nc/annotation.txt","Anotace")</f>
        <v>Anotace</v>
      </c>
      <c r="H128" s="1" t="s">
        <v>19</v>
      </c>
      <c r="M128" s="1" t="s">
        <v>20</v>
      </c>
      <c r="N128" s="1" t="s">
        <v>21</v>
      </c>
    </row>
    <row r="129" spans="1:14" ht="12.75">
      <c r="A129" s="1">
        <v>146</v>
      </c>
      <c r="B129" s="1">
        <v>2008</v>
      </c>
      <c r="C129" s="2" t="s">
        <v>180</v>
      </c>
      <c r="D129" s="3" t="s">
        <v>23</v>
      </c>
      <c r="E129" s="1" t="s">
        <v>27</v>
      </c>
      <c r="F129" s="10" t="str">
        <f>HYPERLINK("https://is.muni.cz/th/nz683/","Elektrický prúd v kvapalinách")</f>
        <v>Elektrický prúd v kvapalinách</v>
      </c>
      <c r="G129" s="11" t="str">
        <f>HYPERLINK("https://is.muni.cz/th/nz683/annotation.txt","Anotace")</f>
        <v>Anotace</v>
      </c>
      <c r="J129" s="1" t="s">
        <v>25</v>
      </c>
      <c r="M129" s="1" t="s">
        <v>20</v>
      </c>
      <c r="N129" s="1" t="s">
        <v>62</v>
      </c>
    </row>
    <row r="130" spans="1:14" ht="12.75">
      <c r="A130" s="1">
        <v>145</v>
      </c>
      <c r="B130" s="1">
        <v>2007</v>
      </c>
      <c r="C130" s="2" t="s">
        <v>181</v>
      </c>
      <c r="D130" s="3" t="s">
        <v>52</v>
      </c>
      <c r="E130" s="1" t="s">
        <v>17</v>
      </c>
      <c r="F130" s="15" t="str">
        <f>HYPERLINK("https://is.muni.cz/th/zmouq/","Elektrokardiografie")</f>
        <v>Elektrokardiografie</v>
      </c>
      <c r="G130" s="12" t="str">
        <f>HYPERLINK("https://is.muni.cz/th/zmouq/annotation.txt","Anotace")</f>
        <v>Anotace</v>
      </c>
      <c r="J130" s="1" t="s">
        <v>25</v>
      </c>
      <c r="M130" s="1" t="s">
        <v>20</v>
      </c>
      <c r="N130" s="1" t="s">
        <v>21</v>
      </c>
    </row>
    <row r="131" spans="1:14" ht="12.75">
      <c r="A131" s="1">
        <v>144</v>
      </c>
      <c r="B131" s="1">
        <v>2007</v>
      </c>
      <c r="C131" s="2" t="s">
        <v>182</v>
      </c>
      <c r="D131" s="3" t="s">
        <v>94</v>
      </c>
      <c r="E131" s="1" t="s">
        <v>27</v>
      </c>
      <c r="F131" s="10" t="str">
        <f>HYPERLINK("https://is.muni.cz/th/mzd1b/","Zvukové a řečové signály a jejich zpracování")</f>
        <v>Zvukové a řečové signály a jejich zpracování</v>
      </c>
      <c r="G131" s="11" t="str">
        <f>HYPERLINK("https://is.muni.cz/th/mzd1b/annotation.txt","Anotace")</f>
        <v>Anotace</v>
      </c>
      <c r="J131" s="1" t="s">
        <v>25</v>
      </c>
      <c r="M131" s="1" t="s">
        <v>20</v>
      </c>
      <c r="N131" s="1" t="s">
        <v>62</v>
      </c>
    </row>
    <row r="132" spans="1:14" ht="12.75">
      <c r="A132" s="1">
        <v>143</v>
      </c>
      <c r="B132" s="1">
        <v>2007</v>
      </c>
      <c r="C132" s="2" t="s">
        <v>183</v>
      </c>
      <c r="D132" s="1" t="s">
        <v>21</v>
      </c>
      <c r="E132" s="1" t="s">
        <v>184</v>
      </c>
      <c r="F132" s="3" t="s">
        <v>185</v>
      </c>
      <c r="G132" s="1" t="s">
        <v>21</v>
      </c>
      <c r="J132" s="1" t="s">
        <v>25</v>
      </c>
      <c r="M132" s="1" t="s">
        <v>61</v>
      </c>
      <c r="N132" s="1" t="s">
        <v>62</v>
      </c>
    </row>
    <row r="133" spans="1:14" ht="12.75">
      <c r="A133" s="1">
        <v>142</v>
      </c>
      <c r="B133" s="1">
        <v>2007</v>
      </c>
      <c r="C133" s="2" t="s">
        <v>148</v>
      </c>
      <c r="D133" s="3" t="s">
        <v>23</v>
      </c>
      <c r="E133" s="1" t="s">
        <v>27</v>
      </c>
      <c r="F133" s="10" t="str">
        <f>HYPERLINK("https://is.muni.cz/th/m64in/","Grafická znázornění ve školní fyzice")</f>
        <v>Grafická znázornění ve školní fyzice</v>
      </c>
      <c r="G133" s="11" t="str">
        <f>HYPERLINK("https://is.muni.cz/th/m64in/annotation.txt","Anotace")</f>
        <v>Anotace</v>
      </c>
      <c r="H133" s="1" t="s">
        <v>19</v>
      </c>
      <c r="M133" s="1" t="s">
        <v>20</v>
      </c>
      <c r="N133" s="1" t="s">
        <v>62</v>
      </c>
    </row>
    <row r="134" spans="1:14" ht="12.75">
      <c r="A134" s="1">
        <v>141</v>
      </c>
      <c r="B134" s="1">
        <v>2007</v>
      </c>
      <c r="C134" s="2" t="s">
        <v>186</v>
      </c>
      <c r="D134" s="3" t="s">
        <v>52</v>
      </c>
      <c r="E134" s="1" t="s">
        <v>17</v>
      </c>
      <c r="F134" s="3" t="s">
        <v>187</v>
      </c>
      <c r="G134" s="1" t="s">
        <v>21</v>
      </c>
      <c r="J134" s="1" t="s">
        <v>25</v>
      </c>
      <c r="M134" s="1" t="s">
        <v>61</v>
      </c>
      <c r="N134" s="1" t="s">
        <v>62</v>
      </c>
    </row>
    <row r="135" spans="1:14" ht="12.75">
      <c r="A135" s="1">
        <v>140</v>
      </c>
      <c r="B135" s="1">
        <v>2007</v>
      </c>
      <c r="C135" s="2" t="s">
        <v>150</v>
      </c>
      <c r="D135" s="3" t="s">
        <v>94</v>
      </c>
      <c r="E135" s="1" t="s">
        <v>27</v>
      </c>
      <c r="F135" s="10" t="str">
        <f>HYPERLINK("https://is.muni.cz/th/lzz94/","Fyzika a sport - studium pohybu míčů")</f>
        <v>Fyzika a sport - studium pohybu míčů</v>
      </c>
      <c r="G135" s="11" t="str">
        <f>HYPERLINK("https://is.muni.cz/th/lzz94/annotation.txt","Anotace")</f>
        <v>Anotace</v>
      </c>
      <c r="J135" s="1" t="s">
        <v>25</v>
      </c>
      <c r="M135" s="1" t="s">
        <v>20</v>
      </c>
      <c r="N135" s="1" t="s">
        <v>62</v>
      </c>
    </row>
    <row r="136" spans="1:14" ht="12.75">
      <c r="A136" s="1">
        <v>139</v>
      </c>
      <c r="B136" s="1">
        <v>2007</v>
      </c>
      <c r="C136" s="2" t="s">
        <v>188</v>
      </c>
      <c r="D136" s="3" t="s">
        <v>147</v>
      </c>
      <c r="E136" s="1" t="s">
        <v>27</v>
      </c>
      <c r="F136" s="3" t="s">
        <v>189</v>
      </c>
      <c r="G136" s="1" t="s">
        <v>21</v>
      </c>
      <c r="H136" s="1" t="s">
        <v>19</v>
      </c>
      <c r="M136" s="1" t="s">
        <v>61</v>
      </c>
      <c r="N136" s="1" t="s">
        <v>62</v>
      </c>
    </row>
    <row r="137" spans="1:14" ht="12.75">
      <c r="A137" s="1">
        <v>138</v>
      </c>
      <c r="B137" s="1">
        <v>2007</v>
      </c>
      <c r="C137" s="2" t="s">
        <v>151</v>
      </c>
      <c r="D137" s="3" t="s">
        <v>94</v>
      </c>
      <c r="E137" s="1" t="s">
        <v>27</v>
      </c>
      <c r="F137" s="8" t="s">
        <v>190</v>
      </c>
      <c r="G137" s="1" t="s">
        <v>21</v>
      </c>
      <c r="J137" s="1" t="s">
        <v>25</v>
      </c>
      <c r="M137" s="1" t="s">
        <v>61</v>
      </c>
      <c r="N137" s="1" t="s">
        <v>62</v>
      </c>
    </row>
    <row r="138" spans="1:14" ht="12.75">
      <c r="A138" s="1">
        <v>137</v>
      </c>
      <c r="B138" s="1">
        <v>2007</v>
      </c>
      <c r="C138" s="2" t="s">
        <v>152</v>
      </c>
      <c r="D138" s="3" t="s">
        <v>94</v>
      </c>
      <c r="E138" s="1" t="s">
        <v>27</v>
      </c>
      <c r="F138" s="10" t="str">
        <f>HYPERLINK("https://is.muni.cz/th/wy58f/","Vliv stavu atmosféry na účinnost fotovoltaického systému")</f>
        <v>Vliv stavu atmosféry na účinnost fotovoltaického systému</v>
      </c>
      <c r="G138" s="11" t="str">
        <f>HYPERLINK("https://is.muni.cz/th/wy58f/annotation.txt","Anotace")</f>
        <v>Anotace</v>
      </c>
      <c r="L138" s="1" t="s">
        <v>53</v>
      </c>
      <c r="M138" s="1" t="s">
        <v>20</v>
      </c>
      <c r="N138" s="1" t="s">
        <v>62</v>
      </c>
    </row>
    <row r="139" spans="1:14" ht="12.75">
      <c r="A139" s="1">
        <v>136</v>
      </c>
      <c r="B139" s="1">
        <v>2007</v>
      </c>
      <c r="C139" s="2" t="s">
        <v>153</v>
      </c>
      <c r="D139" s="3" t="s">
        <v>94</v>
      </c>
      <c r="E139" s="1" t="s">
        <v>27</v>
      </c>
      <c r="F139" s="10" t="str">
        <f>HYPERLINK("https://is.muni.cz/th/ifkql/","Obnovitelné zdroje energie - školní experimenty")</f>
        <v>Obnovitelné zdroje energie - školní experimenty</v>
      </c>
      <c r="G139" s="11" t="str">
        <f>HYPERLINK("https://is.muni.cz/th/ifkql/annotation.txt","Anotace")</f>
        <v>Anotace</v>
      </c>
      <c r="I139" s="1" t="s">
        <v>33</v>
      </c>
      <c r="M139" s="1" t="s">
        <v>20</v>
      </c>
      <c r="N139" s="1" t="s">
        <v>62</v>
      </c>
    </row>
    <row r="140" spans="1:14" ht="12.75">
      <c r="A140" s="1">
        <v>135</v>
      </c>
      <c r="B140" s="1">
        <v>2007</v>
      </c>
      <c r="C140" s="2" t="s">
        <v>191</v>
      </c>
      <c r="D140" s="3" t="s">
        <v>52</v>
      </c>
      <c r="E140" s="1" t="s">
        <v>17</v>
      </c>
      <c r="F140" s="15" t="str">
        <f>HYPERLINK("https://is.muni.cz/th/mm081/","RTG záření, jeho vlastnosti a využití")</f>
        <v>RTG záření, jeho vlastnosti a využití</v>
      </c>
      <c r="G140" s="12" t="str">
        <f>HYPERLINK("https://is.muni.cz/th/mm081/annotation.txt","Anotace")</f>
        <v>Anotace</v>
      </c>
      <c r="J140" s="1" t="s">
        <v>25</v>
      </c>
      <c r="M140" s="1" t="s">
        <v>20</v>
      </c>
      <c r="N140" s="1" t="s">
        <v>62</v>
      </c>
    </row>
    <row r="141" spans="1:14" ht="12.75">
      <c r="A141" s="1">
        <v>134</v>
      </c>
      <c r="B141" s="1">
        <v>2007</v>
      </c>
      <c r="C141" s="2" t="s">
        <v>192</v>
      </c>
      <c r="D141" s="3" t="s">
        <v>52</v>
      </c>
      <c r="E141" s="1" t="s">
        <v>17</v>
      </c>
      <c r="F141" s="10" t="str">
        <f>HYPERLINK("https://is.muni.cz/th/l96nk/","Mpembův jev")</f>
        <v>Mpembův jev</v>
      </c>
      <c r="G141" s="12" t="str">
        <f>HYPERLINK("https://is.muni.cz/th/l96nk/annotation.txt","Anotace")</f>
        <v>Anotace</v>
      </c>
      <c r="J141" s="1" t="s">
        <v>25</v>
      </c>
      <c r="M141" s="1" t="s">
        <v>20</v>
      </c>
      <c r="N141" s="1" t="s">
        <v>21</v>
      </c>
    </row>
    <row r="142" spans="1:14" ht="12.75">
      <c r="A142" s="1">
        <v>133</v>
      </c>
      <c r="B142" s="1">
        <v>2007</v>
      </c>
      <c r="C142" s="2" t="s">
        <v>193</v>
      </c>
      <c r="D142" s="3" t="s">
        <v>94</v>
      </c>
      <c r="E142" s="1" t="s">
        <v>17</v>
      </c>
      <c r="F142" s="10" t="str">
        <f>HYPERLINK("https://is.muni.cz/th/yx5da/","Sluneční záření a atmosféra")</f>
        <v>Sluneční záření a atmosféra</v>
      </c>
      <c r="G142" s="11" t="str">
        <f>HYPERLINK("https://is.muni.cz/th/yx5da/annotation.txt","Anotace")</f>
        <v>Anotace</v>
      </c>
      <c r="L142" s="1" t="s">
        <v>53</v>
      </c>
      <c r="M142" s="1" t="s">
        <v>20</v>
      </c>
      <c r="N142" s="1" t="s">
        <v>21</v>
      </c>
    </row>
    <row r="143" spans="1:14" ht="12.75">
      <c r="A143" s="1">
        <v>132</v>
      </c>
      <c r="B143" s="1">
        <v>2007</v>
      </c>
      <c r="C143" s="2" t="s">
        <v>194</v>
      </c>
      <c r="D143" s="3" t="s">
        <v>23</v>
      </c>
      <c r="E143" s="1" t="s">
        <v>17</v>
      </c>
      <c r="F143" s="10" t="str">
        <f>HYPERLINK("https://is.muni.cz/th/hmgje/","Úlohy pro fyzikální praktikum - Operační zesilovače")</f>
        <v>Úlohy pro fyzikální praktikum - Operační zesilovače</v>
      </c>
      <c r="G143" s="11" t="str">
        <f>HYPERLINK("https://is.muni.cz/th/hmgje/annotation.txt","Anotace")</f>
        <v>Anotace</v>
      </c>
      <c r="I143" s="1" t="s">
        <v>33</v>
      </c>
      <c r="M143" s="1" t="s">
        <v>20</v>
      </c>
      <c r="N143" s="1" t="s">
        <v>21</v>
      </c>
    </row>
    <row r="144" spans="1:14" ht="12.75">
      <c r="A144" s="1">
        <v>131</v>
      </c>
      <c r="B144" s="1">
        <v>2007</v>
      </c>
      <c r="C144" s="2" t="s">
        <v>195</v>
      </c>
      <c r="D144" s="3" t="s">
        <v>94</v>
      </c>
      <c r="E144" s="1" t="s">
        <v>27</v>
      </c>
      <c r="F144" s="8" t="s">
        <v>196</v>
      </c>
      <c r="G144" s="1" t="s">
        <v>21</v>
      </c>
      <c r="L144" s="1" t="s">
        <v>53</v>
      </c>
      <c r="M144" s="1" t="s">
        <v>61</v>
      </c>
      <c r="N144" s="1" t="s">
        <v>62</v>
      </c>
    </row>
    <row r="145" spans="1:14" ht="12.75">
      <c r="A145" s="1">
        <v>130</v>
      </c>
      <c r="B145" s="1">
        <v>2007</v>
      </c>
      <c r="C145" s="2" t="s">
        <v>160</v>
      </c>
      <c r="D145" s="3" t="s">
        <v>23</v>
      </c>
      <c r="E145" s="1" t="s">
        <v>27</v>
      </c>
      <c r="F145" s="10" t="str">
        <f>HYPERLINK("https://is.muni.cz/th/h0cha/","Fyzikální experimenty s integrovanými školními měřícími, modelovacími a řídícími systémy")</f>
        <v>Fyzikální experimenty s integrovanými školními měřícími, modelovacími a řídícími systémy</v>
      </c>
      <c r="G145" s="11" t="str">
        <f>HYPERLINK("https://is.muni.cz/th/h0cha/annotation.txt","Anotace")</f>
        <v>Anotace</v>
      </c>
      <c r="I145" s="1" t="s">
        <v>33</v>
      </c>
      <c r="M145" s="1" t="s">
        <v>20</v>
      </c>
      <c r="N145" s="1" t="s">
        <v>21</v>
      </c>
    </row>
    <row r="146" spans="1:14" ht="12.75">
      <c r="A146" s="1">
        <v>129</v>
      </c>
      <c r="B146" s="1">
        <v>2007</v>
      </c>
      <c r="C146" s="2" t="s">
        <v>197</v>
      </c>
      <c r="D146" s="3" t="s">
        <v>179</v>
      </c>
      <c r="E146" s="1" t="s">
        <v>17</v>
      </c>
      <c r="F146" s="10" t="str">
        <f>HYPERLINK("https://is.muni.cz/th/fdoze/","Výuka astronomie na základní škole")</f>
        <v>Výuka astronomie na základní škole</v>
      </c>
      <c r="G146" s="12" t="str">
        <f>HYPERLINK("https://is.muni.cz/th/fdoze/annotation.txt","Anotace")</f>
        <v>Anotace</v>
      </c>
      <c r="H146" s="1" t="s">
        <v>19</v>
      </c>
      <c r="M146" s="1" t="s">
        <v>20</v>
      </c>
      <c r="N146" s="1" t="s">
        <v>21</v>
      </c>
    </row>
    <row r="147" spans="1:14" ht="12.75">
      <c r="A147" s="1">
        <v>128</v>
      </c>
      <c r="B147" s="1">
        <v>2007</v>
      </c>
      <c r="C147" s="2" t="s">
        <v>198</v>
      </c>
      <c r="D147" s="3" t="s">
        <v>147</v>
      </c>
      <c r="E147" s="1" t="s">
        <v>27</v>
      </c>
      <c r="F147" s="10" t="str">
        <f>HYPERLINK("https://is.muni.cz/th/tn332/","Analýza úloh fyzikální olympiády z hlediska obsahu a vazby na ostatní vyučovací předměty")</f>
        <v>Analýza úloh fyzikální olympiády z hlediska obsahu a vazby na ostatní vyučovací předměty</v>
      </c>
      <c r="G147" s="11" t="str">
        <f>HYPERLINK("https://is.muni.cz/th/tn332/annotation.txt","Anotace")</f>
        <v>Anotace</v>
      </c>
      <c r="H147" s="1" t="s">
        <v>19</v>
      </c>
      <c r="M147" s="1" t="s">
        <v>20</v>
      </c>
      <c r="N147" s="1" t="s">
        <v>21</v>
      </c>
    </row>
    <row r="148" spans="1:14" ht="12.75">
      <c r="A148" s="1">
        <v>127</v>
      </c>
      <c r="B148" s="1">
        <v>2007</v>
      </c>
      <c r="C148" s="2" t="s">
        <v>199</v>
      </c>
      <c r="D148" s="3" t="s">
        <v>23</v>
      </c>
      <c r="E148" s="1" t="s">
        <v>38</v>
      </c>
      <c r="F148" s="3" t="s">
        <v>200</v>
      </c>
      <c r="G148" s="1" t="s">
        <v>21</v>
      </c>
      <c r="H148" s="1" t="s">
        <v>19</v>
      </c>
      <c r="M148" s="1" t="s">
        <v>61</v>
      </c>
      <c r="N148" s="1" t="s">
        <v>62</v>
      </c>
    </row>
    <row r="149" spans="1:14" ht="12.75">
      <c r="A149" s="1">
        <v>126</v>
      </c>
      <c r="B149" s="1">
        <v>2007</v>
      </c>
      <c r="C149" s="2" t="s">
        <v>201</v>
      </c>
      <c r="D149" s="3" t="s">
        <v>52</v>
      </c>
      <c r="E149" s="1" t="s">
        <v>17</v>
      </c>
      <c r="F149" s="15" t="str">
        <f>HYPERLINK("https://is.muni.cz/th/h2w72/","Černobyl")</f>
        <v>Černobyl</v>
      </c>
      <c r="G149" s="11" t="str">
        <f>HYPERLINK("https://is.muni.cz/th/h2w72/annotation.txt","Anotace")</f>
        <v>Anotace</v>
      </c>
      <c r="K149" s="1" t="s">
        <v>29</v>
      </c>
      <c r="M149" s="1" t="s">
        <v>20</v>
      </c>
      <c r="N149" s="1" t="s">
        <v>21</v>
      </c>
    </row>
    <row r="150" spans="1:14" ht="12.75">
      <c r="A150" s="1">
        <v>125</v>
      </c>
      <c r="B150" s="1">
        <v>2007</v>
      </c>
      <c r="C150" s="2" t="s">
        <v>202</v>
      </c>
      <c r="D150" s="3" t="s">
        <v>23</v>
      </c>
      <c r="E150" s="1" t="s">
        <v>17</v>
      </c>
      <c r="F150" s="10" t="str">
        <f>HYPERLINK("https://is.muni.cz/th/ggdc1/","Sbírka environmentálních úloh z fyziky")</f>
        <v>Sbírka environmentálních úloh z fyziky</v>
      </c>
      <c r="G150" s="11" t="str">
        <f>HYPERLINK("https://is.muni.cz/th/ggdc1/annotation.txt","Anotace")</f>
        <v>Anotace</v>
      </c>
      <c r="L150" s="1" t="s">
        <v>53</v>
      </c>
      <c r="M150" s="1" t="s">
        <v>20</v>
      </c>
      <c r="N150" s="1" t="s">
        <v>62</v>
      </c>
    </row>
    <row r="151" spans="1:14" ht="12.75">
      <c r="A151" s="1">
        <v>124</v>
      </c>
      <c r="B151" s="1">
        <v>2007</v>
      </c>
      <c r="C151" s="2" t="s">
        <v>141</v>
      </c>
      <c r="D151" s="3" t="s">
        <v>23</v>
      </c>
      <c r="E151" s="1" t="s">
        <v>27</v>
      </c>
      <c r="F151" s="8" t="s">
        <v>203</v>
      </c>
      <c r="G151" s="1" t="s">
        <v>21</v>
      </c>
      <c r="H151" s="1" t="s">
        <v>19</v>
      </c>
      <c r="M151" s="1" t="s">
        <v>61</v>
      </c>
      <c r="N151" s="1" t="s">
        <v>62</v>
      </c>
    </row>
    <row r="152" spans="1:14" ht="12.75">
      <c r="A152" s="1">
        <v>123</v>
      </c>
      <c r="B152" s="1">
        <v>2007</v>
      </c>
      <c r="C152" s="2" t="s">
        <v>204</v>
      </c>
      <c r="D152" s="3" t="s">
        <v>52</v>
      </c>
      <c r="E152" s="1" t="s">
        <v>17</v>
      </c>
      <c r="F152" s="15" t="str">
        <f>HYPERLINK("https://is.muni.cz/th/ail2m/","Začátek moderní fyziky")</f>
        <v>Začátek moderní fyziky</v>
      </c>
      <c r="G152" s="11" t="str">
        <f>HYPERLINK("https://is.muni.cz/th/ail2m/annotation.txt","Anotace")</f>
        <v>Anotace</v>
      </c>
      <c r="K152" s="1" t="s">
        <v>29</v>
      </c>
      <c r="M152" s="1" t="s">
        <v>20</v>
      </c>
      <c r="N152" s="1" t="s">
        <v>21</v>
      </c>
    </row>
    <row r="153" spans="1:14" ht="12.75">
      <c r="A153" s="1">
        <v>122</v>
      </c>
      <c r="B153" s="1">
        <v>2007</v>
      </c>
      <c r="C153" s="2" t="s">
        <v>162</v>
      </c>
      <c r="D153" s="3" t="s">
        <v>23</v>
      </c>
      <c r="E153" s="1" t="s">
        <v>27</v>
      </c>
      <c r="F153" s="10" t="str">
        <f>HYPERLINK("https://is.muni.cz/th/w358f/","Mobilní technologie a jejich využití ve výuce")</f>
        <v>Mobilní technologie a jejich využití ve výuce</v>
      </c>
      <c r="G153" s="11" t="str">
        <f>HYPERLINK("https://is.muni.cz/th/w358f/annotation.txt","Anotace")</f>
        <v>Anotace</v>
      </c>
      <c r="H153" s="1" t="s">
        <v>19</v>
      </c>
      <c r="M153" s="1" t="s">
        <v>20</v>
      </c>
      <c r="N153" s="1" t="s">
        <v>62</v>
      </c>
    </row>
    <row r="154" spans="1:14" ht="12.75">
      <c r="A154" s="1">
        <v>121</v>
      </c>
      <c r="B154" s="1">
        <v>2007</v>
      </c>
      <c r="C154" s="2" t="s">
        <v>205</v>
      </c>
      <c r="D154" s="3" t="s">
        <v>74</v>
      </c>
      <c r="E154" s="1" t="s">
        <v>17</v>
      </c>
      <c r="F154" s="10" t="str">
        <f>HYPERLINK("https://is.muni.cz/th/gmcts/","Didaktická hra a její motivační roce v primární přírodovědě")</f>
        <v>Didaktická hra a její motivační roce v primární přírodovědě</v>
      </c>
      <c r="G154" s="11" t="str">
        <f>HYPERLINK("https://is.muni.cz/th/gmcts/annotation.txt","Anotace")</f>
        <v>Anotace</v>
      </c>
      <c r="H154" s="1" t="s">
        <v>19</v>
      </c>
      <c r="M154" s="1" t="s">
        <v>20</v>
      </c>
      <c r="N154" s="1" t="s">
        <v>62</v>
      </c>
    </row>
    <row r="155" spans="1:14" ht="12.75">
      <c r="A155" s="1">
        <v>120</v>
      </c>
      <c r="B155" s="1">
        <v>2007</v>
      </c>
      <c r="C155" s="2" t="s">
        <v>206</v>
      </c>
      <c r="D155" s="3" t="s">
        <v>74</v>
      </c>
      <c r="E155" s="1" t="s">
        <v>17</v>
      </c>
      <c r="F155" s="10" t="str">
        <f>HYPERLINK("https://is.muni.cz/auth/th/ra6qe/","Jednoduchý experiment ve vyučování přírodovědy na 1. stupni ZŠ")</f>
        <v>Jednoduchý experiment ve vyučování přírodovědy na 1. stupni ZŠ</v>
      </c>
      <c r="G155" s="11" t="str">
        <f>HYPERLINK("https://is.muni.cz/th/ra6qe/annotation.txt","Anotace")</f>
        <v>Anotace</v>
      </c>
      <c r="I155" s="1" t="s">
        <v>33</v>
      </c>
      <c r="M155" s="1" t="s">
        <v>20</v>
      </c>
      <c r="N155" s="1" t="s">
        <v>62</v>
      </c>
    </row>
    <row r="156" spans="1:14" ht="12.75">
      <c r="A156" s="1">
        <v>119</v>
      </c>
      <c r="B156" s="1">
        <v>2007</v>
      </c>
      <c r="C156" s="13" t="s">
        <v>207</v>
      </c>
      <c r="D156" s="1" t="s">
        <v>21</v>
      </c>
      <c r="E156" s="1" t="s">
        <v>137</v>
      </c>
      <c r="F156" s="8" t="s">
        <v>208</v>
      </c>
      <c r="G156" s="11" t="str">
        <f>HYPERLINK("https://is.muni.cz/th/heosz/annotation.txt","Anotace")</f>
        <v>Anotace</v>
      </c>
      <c r="J156" s="1" t="s">
        <v>25</v>
      </c>
      <c r="M156" s="1" t="s">
        <v>20</v>
      </c>
      <c r="N156" s="1" t="s">
        <v>21</v>
      </c>
    </row>
    <row r="157" spans="1:14" ht="12.75">
      <c r="A157" s="1">
        <v>118</v>
      </c>
      <c r="B157" s="1">
        <v>2007</v>
      </c>
      <c r="C157" s="2" t="s">
        <v>209</v>
      </c>
      <c r="D157" s="3" t="s">
        <v>74</v>
      </c>
      <c r="E157" s="1" t="s">
        <v>17</v>
      </c>
      <c r="F157" s="8" t="s">
        <v>210</v>
      </c>
      <c r="G157" s="11" t="str">
        <f>HYPERLINK("https://is.muni.cz/th/refir/annotation.txt","Anotace")</f>
        <v>Anotace</v>
      </c>
      <c r="H157" s="1" t="s">
        <v>19</v>
      </c>
      <c r="M157" s="1" t="s">
        <v>20</v>
      </c>
      <c r="N157" s="1" t="s">
        <v>62</v>
      </c>
    </row>
    <row r="158" spans="1:14" ht="12.75">
      <c r="A158" s="1">
        <v>117</v>
      </c>
      <c r="B158" s="1">
        <v>2006</v>
      </c>
      <c r="C158" s="13" t="s">
        <v>211</v>
      </c>
      <c r="D158" s="3" t="s">
        <v>74</v>
      </c>
      <c r="E158" s="1" t="s">
        <v>17</v>
      </c>
      <c r="F158" s="8" t="s">
        <v>212</v>
      </c>
      <c r="G158" s="11" t="str">
        <f>HYPERLINK("https://is.muni.cz/th/jl5em/annotation.txt","Anotace")</f>
        <v>Anotace</v>
      </c>
      <c r="H158" s="1" t="s">
        <v>19</v>
      </c>
      <c r="M158" s="1" t="s">
        <v>20</v>
      </c>
      <c r="N158" s="1" t="s">
        <v>62</v>
      </c>
    </row>
    <row r="159" spans="1:14" ht="12.75">
      <c r="A159" s="1">
        <v>116</v>
      </c>
      <c r="B159" s="1">
        <v>2005</v>
      </c>
      <c r="C159" s="2" t="s">
        <v>213</v>
      </c>
      <c r="D159" s="3" t="s">
        <v>74</v>
      </c>
      <c r="E159" s="1" t="s">
        <v>17</v>
      </c>
      <c r="F159" s="3" t="s">
        <v>214</v>
      </c>
      <c r="G159" s="1" t="s">
        <v>21</v>
      </c>
      <c r="I159" s="1" t="s">
        <v>33</v>
      </c>
      <c r="M159" s="1" t="s">
        <v>61</v>
      </c>
      <c r="N159" s="1" t="s">
        <v>62</v>
      </c>
    </row>
    <row r="160" spans="1:14" ht="12.75">
      <c r="A160" s="1">
        <v>115</v>
      </c>
      <c r="B160" s="1">
        <v>2005</v>
      </c>
      <c r="C160" s="2" t="s">
        <v>215</v>
      </c>
      <c r="D160" s="3" t="s">
        <v>52</v>
      </c>
      <c r="E160" s="1" t="s">
        <v>17</v>
      </c>
      <c r="F160" s="3" t="s">
        <v>216</v>
      </c>
      <c r="G160" s="1" t="s">
        <v>21</v>
      </c>
      <c r="L160" s="1" t="s">
        <v>53</v>
      </c>
      <c r="M160" s="1" t="s">
        <v>61</v>
      </c>
      <c r="N160" s="1" t="s">
        <v>62</v>
      </c>
    </row>
    <row r="161" spans="1:14" ht="12.75">
      <c r="A161" s="1">
        <v>114</v>
      </c>
      <c r="B161" s="1">
        <v>2005</v>
      </c>
      <c r="C161" s="2" t="s">
        <v>211</v>
      </c>
      <c r="D161" s="3" t="s">
        <v>74</v>
      </c>
      <c r="E161" s="1" t="s">
        <v>17</v>
      </c>
      <c r="F161" s="3" t="s">
        <v>212</v>
      </c>
      <c r="G161" s="1" t="s">
        <v>21</v>
      </c>
      <c r="H161" s="1" t="s">
        <v>19</v>
      </c>
      <c r="M161" s="1" t="s">
        <v>61</v>
      </c>
      <c r="N161" s="1" t="s">
        <v>62</v>
      </c>
    </row>
    <row r="162" spans="1:14" ht="12.75">
      <c r="A162" s="1">
        <v>113</v>
      </c>
      <c r="B162" s="1">
        <v>2005</v>
      </c>
      <c r="C162" s="2" t="s">
        <v>217</v>
      </c>
      <c r="D162" s="3" t="s">
        <v>52</v>
      </c>
      <c r="E162" s="1" t="s">
        <v>17</v>
      </c>
      <c r="F162" s="3" t="s">
        <v>218</v>
      </c>
      <c r="G162" s="1" t="s">
        <v>21</v>
      </c>
      <c r="J162" s="1" t="s">
        <v>25</v>
      </c>
      <c r="M162" s="1" t="s">
        <v>61</v>
      </c>
      <c r="N162" s="1" t="s">
        <v>62</v>
      </c>
    </row>
    <row r="163" spans="1:14" ht="12.75">
      <c r="A163" s="1">
        <v>112</v>
      </c>
      <c r="B163" s="1">
        <v>2005</v>
      </c>
      <c r="C163" s="2" t="s">
        <v>219</v>
      </c>
      <c r="D163" s="3" t="s">
        <v>74</v>
      </c>
      <c r="E163" s="1" t="s">
        <v>17</v>
      </c>
      <c r="F163" s="3" t="s">
        <v>220</v>
      </c>
      <c r="G163" s="1" t="s">
        <v>21</v>
      </c>
      <c r="I163" s="1" t="s">
        <v>33</v>
      </c>
      <c r="M163" s="1" t="s">
        <v>61</v>
      </c>
      <c r="N163" s="1" t="s">
        <v>90</v>
      </c>
    </row>
    <row r="164" spans="1:14" ht="12.75">
      <c r="A164" s="1">
        <v>111</v>
      </c>
      <c r="B164" s="1">
        <v>2004</v>
      </c>
      <c r="C164" s="2" t="s">
        <v>221</v>
      </c>
      <c r="D164" s="3" t="s">
        <v>52</v>
      </c>
      <c r="E164" s="1" t="s">
        <v>17</v>
      </c>
      <c r="F164" s="3" t="s">
        <v>222</v>
      </c>
      <c r="G164" s="1" t="s">
        <v>21</v>
      </c>
      <c r="J164" s="1" t="s">
        <v>25</v>
      </c>
      <c r="M164" s="1" t="s">
        <v>61</v>
      </c>
      <c r="N164" s="1" t="s">
        <v>62</v>
      </c>
    </row>
    <row r="165" spans="1:14" ht="12.75">
      <c r="A165" s="1">
        <v>110</v>
      </c>
      <c r="B165" s="1">
        <v>2004</v>
      </c>
      <c r="C165" s="2" t="s">
        <v>223</v>
      </c>
      <c r="D165" s="3" t="s">
        <v>74</v>
      </c>
      <c r="E165" s="1" t="s">
        <v>17</v>
      </c>
      <c r="F165" s="3" t="s">
        <v>224</v>
      </c>
      <c r="G165" s="1" t="s">
        <v>21</v>
      </c>
      <c r="H165" s="1" t="s">
        <v>19</v>
      </c>
      <c r="M165" s="1" t="s">
        <v>61</v>
      </c>
      <c r="N165" s="1" t="s">
        <v>62</v>
      </c>
    </row>
    <row r="166" spans="1:14" ht="12.75">
      <c r="A166" s="1">
        <v>109</v>
      </c>
      <c r="B166" s="1">
        <v>2004</v>
      </c>
      <c r="C166" s="2" t="s">
        <v>225</v>
      </c>
      <c r="D166" s="3" t="s">
        <v>23</v>
      </c>
      <c r="E166" s="1" t="s">
        <v>17</v>
      </c>
      <c r="F166" s="3" t="s">
        <v>226</v>
      </c>
      <c r="G166" s="1" t="s">
        <v>21</v>
      </c>
      <c r="H166" s="1" t="s">
        <v>19</v>
      </c>
      <c r="M166" s="1" t="s">
        <v>61</v>
      </c>
      <c r="N166" s="1" t="s">
        <v>62</v>
      </c>
    </row>
    <row r="167" spans="1:14" ht="12.75">
      <c r="A167" s="1">
        <v>108</v>
      </c>
      <c r="B167" s="1">
        <v>2004</v>
      </c>
      <c r="C167" s="2" t="s">
        <v>227</v>
      </c>
      <c r="D167" s="3" t="s">
        <v>147</v>
      </c>
      <c r="E167" s="1" t="s">
        <v>17</v>
      </c>
      <c r="F167" s="3" t="s">
        <v>228</v>
      </c>
      <c r="G167" s="1" t="s">
        <v>21</v>
      </c>
      <c r="H167" s="1" t="s">
        <v>19</v>
      </c>
      <c r="M167" s="1" t="s">
        <v>61</v>
      </c>
      <c r="N167" s="1" t="s">
        <v>62</v>
      </c>
    </row>
    <row r="168" spans="1:14" ht="12.75">
      <c r="A168" s="1">
        <v>107</v>
      </c>
      <c r="B168" s="1">
        <v>2004</v>
      </c>
      <c r="C168" s="2" t="s">
        <v>229</v>
      </c>
      <c r="D168" s="3" t="s">
        <v>74</v>
      </c>
      <c r="E168" s="1" t="s">
        <v>17</v>
      </c>
      <c r="F168" s="3" t="s">
        <v>230</v>
      </c>
      <c r="G168" s="1" t="s">
        <v>21</v>
      </c>
      <c r="I168" s="1" t="s">
        <v>33</v>
      </c>
      <c r="M168" s="1" t="s">
        <v>61</v>
      </c>
      <c r="N168" s="1" t="s">
        <v>62</v>
      </c>
    </row>
    <row r="169" spans="1:14" ht="12.75">
      <c r="A169" s="1">
        <v>106</v>
      </c>
      <c r="B169" s="1">
        <v>2004</v>
      </c>
      <c r="C169" s="2" t="s">
        <v>231</v>
      </c>
      <c r="D169" s="3" t="s">
        <v>74</v>
      </c>
      <c r="E169" s="1" t="s">
        <v>17</v>
      </c>
      <c r="F169" s="3" t="s">
        <v>232</v>
      </c>
      <c r="G169" s="1" t="s">
        <v>21</v>
      </c>
      <c r="H169" s="1" t="s">
        <v>19</v>
      </c>
      <c r="M169" s="1" t="s">
        <v>61</v>
      </c>
      <c r="N169" s="1" t="s">
        <v>62</v>
      </c>
    </row>
    <row r="170" spans="1:14" ht="12.75">
      <c r="A170" s="1">
        <v>105</v>
      </c>
      <c r="B170" s="1">
        <v>2003</v>
      </c>
      <c r="C170" s="2" t="s">
        <v>233</v>
      </c>
      <c r="D170" s="3" t="s">
        <v>52</v>
      </c>
      <c r="E170" s="1" t="s">
        <v>17</v>
      </c>
      <c r="F170" s="3" t="s">
        <v>234</v>
      </c>
      <c r="G170" s="1" t="s">
        <v>21</v>
      </c>
      <c r="H170" s="1" t="s">
        <v>235</v>
      </c>
      <c r="M170" s="1" t="s">
        <v>61</v>
      </c>
      <c r="N170" s="1" t="s">
        <v>62</v>
      </c>
    </row>
    <row r="171" spans="1:14" ht="12.75">
      <c r="A171" s="1">
        <v>104</v>
      </c>
      <c r="B171" s="1">
        <v>2003</v>
      </c>
      <c r="C171" s="2" t="s">
        <v>236</v>
      </c>
      <c r="D171" s="3" t="s">
        <v>52</v>
      </c>
      <c r="E171" s="1" t="s">
        <v>17</v>
      </c>
      <c r="F171" s="3" t="s">
        <v>237</v>
      </c>
      <c r="G171" s="1" t="s">
        <v>21</v>
      </c>
      <c r="L171" s="1" t="s">
        <v>53</v>
      </c>
      <c r="M171" s="1" t="s">
        <v>61</v>
      </c>
      <c r="N171" s="1" t="s">
        <v>62</v>
      </c>
    </row>
    <row r="172" spans="1:14" ht="12.75">
      <c r="A172" s="1">
        <v>103</v>
      </c>
      <c r="B172" s="1">
        <v>2003</v>
      </c>
      <c r="C172" s="2" t="s">
        <v>238</v>
      </c>
      <c r="D172" s="3" t="s">
        <v>52</v>
      </c>
      <c r="E172" s="1" t="s">
        <v>17</v>
      </c>
      <c r="F172" s="3" t="s">
        <v>239</v>
      </c>
      <c r="G172" s="1" t="s">
        <v>21</v>
      </c>
      <c r="J172" s="1" t="s">
        <v>25</v>
      </c>
      <c r="M172" s="1" t="s">
        <v>61</v>
      </c>
      <c r="N172" s="1" t="s">
        <v>62</v>
      </c>
    </row>
    <row r="173" spans="1:14" ht="12.75">
      <c r="A173" s="1">
        <v>102</v>
      </c>
      <c r="B173" s="1">
        <v>2003</v>
      </c>
      <c r="C173" s="2" t="s">
        <v>240</v>
      </c>
      <c r="D173" s="3" t="s">
        <v>241</v>
      </c>
      <c r="E173" s="1" t="s">
        <v>164</v>
      </c>
      <c r="F173" s="3" t="s">
        <v>242</v>
      </c>
      <c r="G173" s="1" t="s">
        <v>21</v>
      </c>
      <c r="J173" s="1" t="s">
        <v>25</v>
      </c>
      <c r="M173" s="1" t="s">
        <v>61</v>
      </c>
      <c r="N173" s="1" t="s">
        <v>62</v>
      </c>
    </row>
    <row r="174" spans="1:14" ht="12.75">
      <c r="A174" s="1">
        <v>101</v>
      </c>
      <c r="B174" s="1">
        <v>2002</v>
      </c>
      <c r="C174" s="2" t="s">
        <v>243</v>
      </c>
      <c r="D174" s="3" t="s">
        <v>74</v>
      </c>
      <c r="E174" s="1" t="s">
        <v>17</v>
      </c>
      <c r="F174" s="3" t="s">
        <v>244</v>
      </c>
      <c r="G174" s="1" t="s">
        <v>21</v>
      </c>
      <c r="H174" s="1" t="s">
        <v>19</v>
      </c>
      <c r="M174" s="1" t="s">
        <v>61</v>
      </c>
      <c r="N174" s="1" t="s">
        <v>62</v>
      </c>
    </row>
    <row r="175" spans="1:14" ht="12.75">
      <c r="A175" s="1">
        <v>100</v>
      </c>
      <c r="B175" s="1">
        <v>2002</v>
      </c>
      <c r="C175" s="2" t="s">
        <v>245</v>
      </c>
      <c r="D175" s="3" t="s">
        <v>74</v>
      </c>
      <c r="E175" s="1" t="s">
        <v>17</v>
      </c>
      <c r="F175" s="3" t="s">
        <v>246</v>
      </c>
      <c r="G175" s="1" t="s">
        <v>21</v>
      </c>
      <c r="H175" s="1" t="s">
        <v>19</v>
      </c>
      <c r="M175" s="1" t="s">
        <v>61</v>
      </c>
      <c r="N175" s="1" t="s">
        <v>62</v>
      </c>
    </row>
    <row r="176" spans="1:14" ht="12.75">
      <c r="A176" s="1">
        <v>99</v>
      </c>
      <c r="B176" s="1">
        <v>2002</v>
      </c>
      <c r="C176" s="2" t="s">
        <v>247</v>
      </c>
      <c r="D176" s="3" t="s">
        <v>74</v>
      </c>
      <c r="E176" s="1" t="s">
        <v>17</v>
      </c>
      <c r="F176" s="3" t="s">
        <v>248</v>
      </c>
      <c r="G176" s="1" t="s">
        <v>21</v>
      </c>
      <c r="H176" s="1" t="s">
        <v>19</v>
      </c>
      <c r="M176" s="1" t="s">
        <v>61</v>
      </c>
      <c r="N176" s="1" t="s">
        <v>62</v>
      </c>
    </row>
    <row r="177" spans="1:14" ht="12.75">
      <c r="A177" s="1">
        <v>98</v>
      </c>
      <c r="B177" s="1">
        <v>2002</v>
      </c>
      <c r="C177" s="2" t="s">
        <v>249</v>
      </c>
      <c r="D177" s="3" t="s">
        <v>52</v>
      </c>
      <c r="E177" s="1" t="s">
        <v>17</v>
      </c>
      <c r="F177" s="3" t="s">
        <v>250</v>
      </c>
      <c r="G177" s="1" t="s">
        <v>21</v>
      </c>
      <c r="J177" s="1" t="s">
        <v>25</v>
      </c>
      <c r="M177" s="1" t="s">
        <v>61</v>
      </c>
      <c r="N177" s="1" t="s">
        <v>62</v>
      </c>
    </row>
    <row r="178" spans="1:14" ht="12.75">
      <c r="A178" s="1">
        <v>97</v>
      </c>
      <c r="B178" s="1">
        <v>2002</v>
      </c>
      <c r="C178" s="2" t="s">
        <v>251</v>
      </c>
      <c r="D178" s="3" t="s">
        <v>52</v>
      </c>
      <c r="E178" s="1" t="s">
        <v>17</v>
      </c>
      <c r="F178" s="3" t="s">
        <v>252</v>
      </c>
      <c r="G178" s="1" t="s">
        <v>21</v>
      </c>
      <c r="J178" s="1" t="s">
        <v>25</v>
      </c>
      <c r="M178" s="1" t="s">
        <v>61</v>
      </c>
      <c r="N178" s="1" t="s">
        <v>62</v>
      </c>
    </row>
    <row r="179" spans="1:14" ht="12.75">
      <c r="A179" s="1">
        <v>96</v>
      </c>
      <c r="B179" s="1">
        <v>2002</v>
      </c>
      <c r="C179" s="2" t="s">
        <v>253</v>
      </c>
      <c r="D179" s="3" t="s">
        <v>52</v>
      </c>
      <c r="E179" s="1" t="s">
        <v>17</v>
      </c>
      <c r="F179" s="3" t="s">
        <v>254</v>
      </c>
      <c r="G179" s="1" t="s">
        <v>21</v>
      </c>
      <c r="L179" s="1" t="s">
        <v>53</v>
      </c>
      <c r="M179" s="1" t="s">
        <v>61</v>
      </c>
      <c r="N179" s="1" t="s">
        <v>62</v>
      </c>
    </row>
    <row r="180" spans="1:14" ht="12.75">
      <c r="A180" s="1">
        <v>95</v>
      </c>
      <c r="B180" s="1">
        <v>2002</v>
      </c>
      <c r="C180" s="2" t="s">
        <v>255</v>
      </c>
      <c r="D180" s="3" t="s">
        <v>52</v>
      </c>
      <c r="E180" s="1" t="s">
        <v>17</v>
      </c>
      <c r="F180" s="3" t="s">
        <v>256</v>
      </c>
      <c r="G180" s="1" t="s">
        <v>21</v>
      </c>
      <c r="K180" s="1" t="s">
        <v>29</v>
      </c>
      <c r="M180" s="1" t="s">
        <v>61</v>
      </c>
      <c r="N180" s="1" t="s">
        <v>62</v>
      </c>
    </row>
    <row r="181" spans="1:14" ht="12.75">
      <c r="A181" s="1">
        <v>94</v>
      </c>
      <c r="B181" s="1">
        <v>2002</v>
      </c>
      <c r="C181" s="2" t="s">
        <v>257</v>
      </c>
      <c r="D181" s="3" t="s">
        <v>258</v>
      </c>
      <c r="E181" s="1" t="s">
        <v>164</v>
      </c>
      <c r="F181" s="3" t="s">
        <v>259</v>
      </c>
      <c r="G181" s="1" t="s">
        <v>21</v>
      </c>
      <c r="J181" s="1" t="s">
        <v>25</v>
      </c>
      <c r="M181" s="1" t="s">
        <v>61</v>
      </c>
      <c r="N181" s="1" t="s">
        <v>62</v>
      </c>
    </row>
    <row r="182" spans="1:14" ht="12.75">
      <c r="A182" s="1">
        <v>93</v>
      </c>
      <c r="B182" s="1">
        <v>2002</v>
      </c>
      <c r="C182" s="2" t="s">
        <v>260</v>
      </c>
      <c r="D182" s="3" t="s">
        <v>74</v>
      </c>
      <c r="E182" s="1" t="s">
        <v>17</v>
      </c>
      <c r="F182" s="3" t="s">
        <v>261</v>
      </c>
      <c r="G182" s="1" t="s">
        <v>21</v>
      </c>
      <c r="H182" s="1" t="s">
        <v>19</v>
      </c>
      <c r="M182" s="1" t="s">
        <v>61</v>
      </c>
      <c r="N182" s="1" t="s">
        <v>90</v>
      </c>
    </row>
    <row r="183" spans="1:14" ht="12.75">
      <c r="A183" s="1">
        <v>92</v>
      </c>
      <c r="B183" s="1">
        <v>2002</v>
      </c>
      <c r="C183" s="2" t="s">
        <v>262</v>
      </c>
      <c r="D183" s="3" t="s">
        <v>74</v>
      </c>
      <c r="E183" s="1" t="s">
        <v>17</v>
      </c>
      <c r="F183" s="3" t="s">
        <v>263</v>
      </c>
      <c r="G183" s="1" t="s">
        <v>21</v>
      </c>
      <c r="H183" s="1" t="s">
        <v>19</v>
      </c>
      <c r="M183" s="1" t="s">
        <v>61</v>
      </c>
      <c r="N183" s="1" t="s">
        <v>62</v>
      </c>
    </row>
    <row r="184" spans="1:14" ht="12.75">
      <c r="A184" s="1">
        <v>91</v>
      </c>
      <c r="B184" s="1">
        <v>2002</v>
      </c>
      <c r="C184" s="2" t="s">
        <v>264</v>
      </c>
      <c r="D184" s="3" t="s">
        <v>74</v>
      </c>
      <c r="E184" s="1" t="s">
        <v>17</v>
      </c>
      <c r="F184" s="3" t="s">
        <v>265</v>
      </c>
      <c r="G184" s="1" t="s">
        <v>21</v>
      </c>
      <c r="I184" s="1" t="s">
        <v>33</v>
      </c>
      <c r="M184" s="1" t="s">
        <v>61</v>
      </c>
      <c r="N184" s="1" t="s">
        <v>62</v>
      </c>
    </row>
    <row r="185" spans="1:14" ht="12.75">
      <c r="A185" s="1">
        <v>90</v>
      </c>
      <c r="B185" s="1">
        <v>2001</v>
      </c>
      <c r="C185" s="2" t="s">
        <v>266</v>
      </c>
      <c r="D185" s="3" t="s">
        <v>74</v>
      </c>
      <c r="E185" s="1" t="s">
        <v>17</v>
      </c>
      <c r="F185" s="3" t="s">
        <v>267</v>
      </c>
      <c r="G185" s="1" t="s">
        <v>21</v>
      </c>
      <c r="H185" s="1" t="s">
        <v>19</v>
      </c>
      <c r="M185" s="1" t="s">
        <v>61</v>
      </c>
      <c r="N185" s="1" t="s">
        <v>62</v>
      </c>
    </row>
    <row r="186" spans="1:14" ht="12.75">
      <c r="A186" s="1">
        <v>89</v>
      </c>
      <c r="B186" s="1">
        <v>2001</v>
      </c>
      <c r="C186" s="2" t="s">
        <v>268</v>
      </c>
      <c r="D186" s="3" t="s">
        <v>23</v>
      </c>
      <c r="E186" s="1" t="s">
        <v>17</v>
      </c>
      <c r="F186" s="3" t="s">
        <v>269</v>
      </c>
      <c r="G186" s="1" t="s">
        <v>21</v>
      </c>
      <c r="H186" s="1" t="s">
        <v>19</v>
      </c>
      <c r="M186" s="1" t="s">
        <v>61</v>
      </c>
      <c r="N186" s="1" t="s">
        <v>62</v>
      </c>
    </row>
    <row r="187" spans="1:14" ht="12.75">
      <c r="A187" s="1">
        <v>88</v>
      </c>
      <c r="B187" s="1">
        <v>2001</v>
      </c>
      <c r="C187" s="2" t="s">
        <v>270</v>
      </c>
      <c r="D187" s="3" t="s">
        <v>74</v>
      </c>
      <c r="E187" s="1" t="s">
        <v>17</v>
      </c>
      <c r="F187" s="3" t="s">
        <v>271</v>
      </c>
      <c r="G187" s="1" t="s">
        <v>21</v>
      </c>
      <c r="H187" s="1" t="s">
        <v>19</v>
      </c>
      <c r="M187" s="1" t="s">
        <v>61</v>
      </c>
      <c r="N187" s="1" t="s">
        <v>62</v>
      </c>
    </row>
    <row r="188" spans="1:14" ht="12.75">
      <c r="A188" s="1">
        <v>87</v>
      </c>
      <c r="B188" s="1">
        <v>2001</v>
      </c>
      <c r="C188" s="2" t="s">
        <v>272</v>
      </c>
      <c r="D188" s="3" t="s">
        <v>74</v>
      </c>
      <c r="E188" s="1" t="s">
        <v>17</v>
      </c>
      <c r="F188" s="3" t="s">
        <v>273</v>
      </c>
      <c r="G188" s="1" t="s">
        <v>21</v>
      </c>
      <c r="I188" s="1" t="s">
        <v>33</v>
      </c>
      <c r="M188" s="1" t="s">
        <v>61</v>
      </c>
      <c r="N188" s="1" t="s">
        <v>62</v>
      </c>
    </row>
    <row r="189" spans="1:14" ht="12.75">
      <c r="A189" s="1">
        <v>86</v>
      </c>
      <c r="B189" s="1">
        <v>2000</v>
      </c>
      <c r="C189" s="2" t="s">
        <v>274</v>
      </c>
      <c r="D189" s="3" t="s">
        <v>74</v>
      </c>
      <c r="E189" s="1" t="s">
        <v>17</v>
      </c>
      <c r="F189" s="3" t="s">
        <v>275</v>
      </c>
      <c r="G189" s="1" t="s">
        <v>21</v>
      </c>
      <c r="I189" s="1" t="s">
        <v>33</v>
      </c>
      <c r="M189" s="1" t="s">
        <v>61</v>
      </c>
      <c r="N189" s="1" t="s">
        <v>62</v>
      </c>
    </row>
    <row r="190" spans="1:14" ht="12.75">
      <c r="A190" s="1">
        <v>85</v>
      </c>
      <c r="B190" s="1">
        <v>1998</v>
      </c>
      <c r="C190" s="2" t="s">
        <v>276</v>
      </c>
      <c r="D190" s="3" t="s">
        <v>74</v>
      </c>
      <c r="E190" s="1" t="s">
        <v>17</v>
      </c>
      <c r="F190" s="3" t="s">
        <v>277</v>
      </c>
      <c r="G190" s="1" t="s">
        <v>21</v>
      </c>
      <c r="H190" s="1" t="s">
        <v>19</v>
      </c>
      <c r="M190" s="1" t="s">
        <v>61</v>
      </c>
      <c r="N190" s="1" t="s">
        <v>90</v>
      </c>
    </row>
    <row r="191" spans="1:14" ht="12.75">
      <c r="A191" s="1">
        <v>84</v>
      </c>
      <c r="B191" s="1">
        <v>1998</v>
      </c>
      <c r="C191" s="2" t="s">
        <v>278</v>
      </c>
      <c r="D191" s="3" t="s">
        <v>74</v>
      </c>
      <c r="E191" s="1" t="s">
        <v>17</v>
      </c>
      <c r="F191" s="3" t="s">
        <v>279</v>
      </c>
      <c r="G191" s="1" t="s">
        <v>21</v>
      </c>
      <c r="H191" s="1" t="s">
        <v>19</v>
      </c>
      <c r="M191" s="1" t="s">
        <v>61</v>
      </c>
      <c r="N191" s="1" t="s">
        <v>90</v>
      </c>
    </row>
    <row r="192" spans="1:14" ht="12.75">
      <c r="A192" s="1">
        <v>83</v>
      </c>
      <c r="B192" s="1">
        <v>1997</v>
      </c>
      <c r="C192" s="2" t="s">
        <v>280</v>
      </c>
      <c r="D192" s="3" t="s">
        <v>94</v>
      </c>
      <c r="E192" s="1" t="s">
        <v>17</v>
      </c>
      <c r="F192" s="3" t="s">
        <v>281</v>
      </c>
      <c r="G192" s="1" t="s">
        <v>21</v>
      </c>
      <c r="I192" s="1" t="s">
        <v>33</v>
      </c>
      <c r="M192" s="1" t="s">
        <v>61</v>
      </c>
      <c r="N192" s="1" t="s">
        <v>62</v>
      </c>
    </row>
    <row r="193" spans="1:14" ht="12.75">
      <c r="A193" s="1">
        <v>82</v>
      </c>
      <c r="B193" s="1">
        <v>1997</v>
      </c>
      <c r="C193" s="2" t="s">
        <v>282</v>
      </c>
      <c r="D193" s="1" t="s">
        <v>21</v>
      </c>
      <c r="E193" s="1" t="s">
        <v>17</v>
      </c>
      <c r="F193" s="3" t="s">
        <v>283</v>
      </c>
      <c r="G193" s="1" t="s">
        <v>21</v>
      </c>
      <c r="H193" s="1" t="s">
        <v>19</v>
      </c>
      <c r="M193" s="1" t="s">
        <v>61</v>
      </c>
      <c r="N193" s="1" t="s">
        <v>62</v>
      </c>
    </row>
    <row r="194" spans="1:14" ht="12.75">
      <c r="A194" s="1">
        <v>81</v>
      </c>
      <c r="B194" s="1">
        <v>1996</v>
      </c>
      <c r="C194" s="2" t="s">
        <v>284</v>
      </c>
      <c r="D194" s="1" t="s">
        <v>21</v>
      </c>
      <c r="E194" s="1" t="s">
        <v>17</v>
      </c>
      <c r="F194" s="3" t="s">
        <v>285</v>
      </c>
      <c r="G194" s="1" t="s">
        <v>21</v>
      </c>
      <c r="I194" s="1" t="s">
        <v>33</v>
      </c>
      <c r="M194" s="1" t="s">
        <v>61</v>
      </c>
      <c r="N194" s="1" t="s">
        <v>62</v>
      </c>
    </row>
    <row r="195" spans="1:14" ht="12.75">
      <c r="A195" s="1">
        <v>80</v>
      </c>
      <c r="B195" s="1">
        <v>1996</v>
      </c>
      <c r="C195" s="2" t="s">
        <v>286</v>
      </c>
      <c r="D195" s="3" t="s">
        <v>74</v>
      </c>
      <c r="E195" s="1" t="s">
        <v>17</v>
      </c>
      <c r="F195" s="3" t="s">
        <v>287</v>
      </c>
      <c r="G195" s="1" t="s">
        <v>21</v>
      </c>
      <c r="H195" s="1" t="s">
        <v>19</v>
      </c>
      <c r="M195" s="1" t="s">
        <v>61</v>
      </c>
      <c r="N195" s="1" t="s">
        <v>62</v>
      </c>
    </row>
    <row r="196" spans="1:14" ht="12.75">
      <c r="A196" s="1">
        <v>79</v>
      </c>
      <c r="B196" s="1">
        <v>1996</v>
      </c>
      <c r="C196" s="2" t="s">
        <v>288</v>
      </c>
      <c r="D196" s="3" t="s">
        <v>74</v>
      </c>
      <c r="E196" s="1" t="s">
        <v>17</v>
      </c>
      <c r="F196" s="3" t="s">
        <v>289</v>
      </c>
      <c r="G196" s="1" t="s">
        <v>21</v>
      </c>
      <c r="I196" s="1" t="s">
        <v>33</v>
      </c>
      <c r="M196" s="1" t="s">
        <v>61</v>
      </c>
      <c r="N196" s="1" t="s">
        <v>62</v>
      </c>
    </row>
    <row r="197" spans="1:14" ht="12.75">
      <c r="A197" s="1">
        <v>78</v>
      </c>
      <c r="B197" s="1">
        <v>1996</v>
      </c>
      <c r="C197" s="2" t="s">
        <v>290</v>
      </c>
      <c r="D197" s="1" t="s">
        <v>21</v>
      </c>
      <c r="E197" s="1" t="s">
        <v>17</v>
      </c>
      <c r="F197" s="3" t="s">
        <v>291</v>
      </c>
      <c r="G197" s="1" t="s">
        <v>21</v>
      </c>
      <c r="H197" s="1" t="s">
        <v>19</v>
      </c>
      <c r="M197" s="1" t="s">
        <v>61</v>
      </c>
      <c r="N197" s="1" t="s">
        <v>62</v>
      </c>
    </row>
    <row r="198" spans="1:14" ht="12.75">
      <c r="A198" s="1">
        <v>77</v>
      </c>
      <c r="B198" s="1">
        <v>1996</v>
      </c>
      <c r="C198" s="2" t="s">
        <v>292</v>
      </c>
      <c r="D198" s="3" t="s">
        <v>94</v>
      </c>
      <c r="E198" s="1" t="s">
        <v>17</v>
      </c>
      <c r="F198" s="3" t="s">
        <v>293</v>
      </c>
      <c r="G198" s="1" t="s">
        <v>21</v>
      </c>
      <c r="L198" s="1" t="s">
        <v>53</v>
      </c>
      <c r="M198" s="1" t="s">
        <v>61</v>
      </c>
      <c r="N198" s="1" t="s">
        <v>62</v>
      </c>
    </row>
    <row r="199" spans="1:14" ht="12.75">
      <c r="A199" s="1">
        <v>76</v>
      </c>
      <c r="B199" s="1">
        <v>1996</v>
      </c>
      <c r="C199" s="2" t="s">
        <v>294</v>
      </c>
      <c r="D199" s="3" t="s">
        <v>52</v>
      </c>
      <c r="E199" s="1" t="s">
        <v>17</v>
      </c>
      <c r="F199" s="3" t="s">
        <v>295</v>
      </c>
      <c r="G199" s="1" t="s">
        <v>21</v>
      </c>
      <c r="J199" s="1" t="s">
        <v>25</v>
      </c>
      <c r="M199" s="1" t="s">
        <v>61</v>
      </c>
      <c r="N199" s="1" t="s">
        <v>62</v>
      </c>
    </row>
    <row r="200" spans="1:14" ht="12.75">
      <c r="A200" s="1">
        <v>75</v>
      </c>
      <c r="B200" s="1">
        <v>1996</v>
      </c>
      <c r="C200" s="2" t="s">
        <v>296</v>
      </c>
      <c r="D200" s="3" t="s">
        <v>23</v>
      </c>
      <c r="E200" s="1" t="s">
        <v>17</v>
      </c>
      <c r="F200" s="3" t="s">
        <v>297</v>
      </c>
      <c r="G200" s="1" t="s">
        <v>21</v>
      </c>
      <c r="I200" s="1" t="s">
        <v>33</v>
      </c>
      <c r="M200" s="1" t="s">
        <v>61</v>
      </c>
      <c r="N200" s="1" t="s">
        <v>62</v>
      </c>
    </row>
    <row r="201" spans="1:14" ht="12.75">
      <c r="A201" s="1">
        <v>74</v>
      </c>
      <c r="B201" s="1">
        <v>1995</v>
      </c>
      <c r="C201" s="2" t="s">
        <v>298</v>
      </c>
      <c r="D201" s="3" t="s">
        <v>74</v>
      </c>
      <c r="E201" s="1" t="s">
        <v>17</v>
      </c>
      <c r="F201" s="3" t="s">
        <v>299</v>
      </c>
      <c r="G201" s="1" t="s">
        <v>21</v>
      </c>
      <c r="H201" s="1" t="s">
        <v>19</v>
      </c>
      <c r="M201" s="1" t="s">
        <v>61</v>
      </c>
      <c r="N201" s="1" t="s">
        <v>62</v>
      </c>
    </row>
    <row r="202" spans="1:14" ht="12.75">
      <c r="A202" s="1">
        <v>73</v>
      </c>
      <c r="B202" s="1">
        <v>1995</v>
      </c>
      <c r="C202" s="2" t="s">
        <v>300</v>
      </c>
      <c r="D202" s="3" t="s">
        <v>52</v>
      </c>
      <c r="E202" s="1" t="s">
        <v>17</v>
      </c>
      <c r="F202" s="3" t="s">
        <v>295</v>
      </c>
      <c r="G202" s="1" t="s">
        <v>21</v>
      </c>
      <c r="J202" s="1" t="s">
        <v>25</v>
      </c>
      <c r="M202" s="1" t="s">
        <v>61</v>
      </c>
      <c r="N202" s="1" t="s">
        <v>62</v>
      </c>
    </row>
    <row r="203" spans="1:14" ht="12.75">
      <c r="A203" s="1">
        <v>72</v>
      </c>
      <c r="B203" s="1">
        <v>1995</v>
      </c>
      <c r="C203" s="2" t="s">
        <v>301</v>
      </c>
      <c r="D203" s="3" t="s">
        <v>94</v>
      </c>
      <c r="E203" s="1" t="s">
        <v>17</v>
      </c>
      <c r="F203" s="3" t="s">
        <v>302</v>
      </c>
      <c r="G203" s="1" t="s">
        <v>21</v>
      </c>
      <c r="H203" s="1" t="s">
        <v>19</v>
      </c>
      <c r="M203" s="1" t="s">
        <v>61</v>
      </c>
      <c r="N203" s="1" t="s">
        <v>62</v>
      </c>
    </row>
    <row r="204" spans="1:14" ht="12.75">
      <c r="A204" s="1">
        <v>71</v>
      </c>
      <c r="B204" s="1">
        <v>1995</v>
      </c>
      <c r="C204" s="2" t="s">
        <v>303</v>
      </c>
      <c r="D204" s="3" t="s">
        <v>52</v>
      </c>
      <c r="E204" s="1" t="s">
        <v>17</v>
      </c>
      <c r="F204" s="3" t="s">
        <v>304</v>
      </c>
      <c r="G204" s="1" t="s">
        <v>21</v>
      </c>
      <c r="J204" s="1" t="s">
        <v>25</v>
      </c>
      <c r="M204" s="1" t="s">
        <v>61</v>
      </c>
      <c r="N204" s="1" t="s">
        <v>62</v>
      </c>
    </row>
    <row r="205" spans="1:14" ht="12.75">
      <c r="A205" s="1">
        <v>70</v>
      </c>
      <c r="B205" s="1">
        <v>1995</v>
      </c>
      <c r="C205" s="2" t="s">
        <v>305</v>
      </c>
      <c r="D205" s="3" t="s">
        <v>52</v>
      </c>
      <c r="E205" s="1" t="s">
        <v>17</v>
      </c>
      <c r="F205" s="3" t="s">
        <v>306</v>
      </c>
      <c r="G205" s="1" t="s">
        <v>21</v>
      </c>
      <c r="I205" s="1" t="s">
        <v>33</v>
      </c>
      <c r="M205" s="1" t="s">
        <v>61</v>
      </c>
      <c r="N205" s="1" t="s">
        <v>62</v>
      </c>
    </row>
    <row r="206" spans="1:14" ht="12.75">
      <c r="A206" s="1">
        <v>69</v>
      </c>
      <c r="B206" s="1">
        <v>1994</v>
      </c>
      <c r="C206" s="2" t="s">
        <v>307</v>
      </c>
      <c r="D206" s="1" t="s">
        <v>21</v>
      </c>
      <c r="E206" s="1" t="s">
        <v>17</v>
      </c>
      <c r="F206" s="3" t="s">
        <v>308</v>
      </c>
      <c r="G206" s="1" t="s">
        <v>21</v>
      </c>
      <c r="H206" s="1" t="s">
        <v>19</v>
      </c>
      <c r="M206" s="1" t="s">
        <v>61</v>
      </c>
      <c r="N206" s="1" t="s">
        <v>62</v>
      </c>
    </row>
    <row r="207" spans="1:14" ht="12.75">
      <c r="A207" s="1">
        <v>68</v>
      </c>
      <c r="B207" s="1">
        <v>1994</v>
      </c>
      <c r="C207" s="2" t="s">
        <v>309</v>
      </c>
      <c r="D207" s="3" t="s">
        <v>310</v>
      </c>
      <c r="E207" s="1" t="s">
        <v>17</v>
      </c>
      <c r="F207" s="3" t="s">
        <v>311</v>
      </c>
      <c r="G207" s="1" t="s">
        <v>21</v>
      </c>
      <c r="K207" s="1" t="s">
        <v>29</v>
      </c>
      <c r="M207" s="1" t="s">
        <v>61</v>
      </c>
      <c r="N207" s="1" t="s">
        <v>62</v>
      </c>
    </row>
    <row r="208" spans="1:14" ht="12.75">
      <c r="A208" s="1">
        <v>67</v>
      </c>
      <c r="B208" s="1">
        <v>1994</v>
      </c>
      <c r="C208" s="2" t="s">
        <v>312</v>
      </c>
      <c r="D208" s="3" t="s">
        <v>52</v>
      </c>
      <c r="E208" s="1" t="s">
        <v>17</v>
      </c>
      <c r="F208" s="3" t="s">
        <v>313</v>
      </c>
      <c r="G208" s="1" t="s">
        <v>21</v>
      </c>
      <c r="K208" s="1" t="s">
        <v>29</v>
      </c>
      <c r="M208" s="1" t="s">
        <v>61</v>
      </c>
      <c r="N208" s="1" t="s">
        <v>62</v>
      </c>
    </row>
    <row r="209" spans="1:14" ht="12.75">
      <c r="A209" s="1">
        <v>66</v>
      </c>
      <c r="B209" s="1">
        <v>1994</v>
      </c>
      <c r="C209" s="2" t="s">
        <v>314</v>
      </c>
      <c r="D209" s="3" t="s">
        <v>52</v>
      </c>
      <c r="E209" s="1" t="s">
        <v>17</v>
      </c>
      <c r="F209" s="3" t="s">
        <v>315</v>
      </c>
      <c r="G209" s="1" t="s">
        <v>21</v>
      </c>
      <c r="L209" s="1" t="s">
        <v>53</v>
      </c>
      <c r="M209" s="1" t="s">
        <v>61</v>
      </c>
      <c r="N209" s="1" t="s">
        <v>62</v>
      </c>
    </row>
    <row r="210" spans="1:14" ht="12.75">
      <c r="A210" s="1">
        <v>65</v>
      </c>
      <c r="B210" s="1">
        <v>1993</v>
      </c>
      <c r="C210" s="2" t="s">
        <v>316</v>
      </c>
      <c r="D210" s="3" t="s">
        <v>310</v>
      </c>
      <c r="E210" s="1" t="s">
        <v>17</v>
      </c>
      <c r="F210" s="3" t="s">
        <v>317</v>
      </c>
      <c r="G210" s="1" t="s">
        <v>21</v>
      </c>
      <c r="H210" s="1" t="s">
        <v>19</v>
      </c>
      <c r="M210" s="1" t="s">
        <v>61</v>
      </c>
      <c r="N210" s="1" t="s">
        <v>62</v>
      </c>
    </row>
    <row r="211" spans="1:14" ht="12.75">
      <c r="A211" s="1">
        <v>64</v>
      </c>
      <c r="B211" s="1">
        <v>1993</v>
      </c>
      <c r="C211" s="2" t="s">
        <v>318</v>
      </c>
      <c r="D211" s="3" t="s">
        <v>52</v>
      </c>
      <c r="E211" s="1" t="s">
        <v>17</v>
      </c>
      <c r="F211" s="3" t="s">
        <v>319</v>
      </c>
      <c r="G211" s="1" t="s">
        <v>21</v>
      </c>
      <c r="H211" s="1" t="s">
        <v>19</v>
      </c>
      <c r="M211" s="1" t="s">
        <v>61</v>
      </c>
      <c r="N211" s="1" t="s">
        <v>62</v>
      </c>
    </row>
    <row r="212" spans="1:14" ht="12.75">
      <c r="A212" s="1">
        <v>63</v>
      </c>
      <c r="B212" s="1">
        <v>1993</v>
      </c>
      <c r="C212" s="2" t="s">
        <v>320</v>
      </c>
      <c r="D212" s="3" t="s">
        <v>74</v>
      </c>
      <c r="E212" s="1" t="s">
        <v>17</v>
      </c>
      <c r="F212" s="3" t="s">
        <v>321</v>
      </c>
      <c r="G212" s="1" t="s">
        <v>21</v>
      </c>
      <c r="H212" s="1" t="s">
        <v>19</v>
      </c>
      <c r="M212" s="1" t="s">
        <v>61</v>
      </c>
      <c r="N212" s="1" t="s">
        <v>62</v>
      </c>
    </row>
    <row r="213" spans="1:14" ht="12.75">
      <c r="A213" s="1">
        <v>62</v>
      </c>
      <c r="B213" s="1">
        <v>1993</v>
      </c>
      <c r="C213" s="2" t="s">
        <v>322</v>
      </c>
      <c r="D213" s="3" t="s">
        <v>310</v>
      </c>
      <c r="E213" s="1" t="s">
        <v>17</v>
      </c>
      <c r="F213" s="3" t="s">
        <v>323</v>
      </c>
      <c r="G213" s="1" t="s">
        <v>21</v>
      </c>
      <c r="I213" s="1" t="s">
        <v>33</v>
      </c>
      <c r="M213" s="1" t="s">
        <v>61</v>
      </c>
      <c r="N213" s="1" t="s">
        <v>62</v>
      </c>
    </row>
    <row r="214" spans="1:14" ht="12.75">
      <c r="A214" s="1">
        <v>61</v>
      </c>
      <c r="B214" s="1">
        <v>1992</v>
      </c>
      <c r="C214" s="2" t="s">
        <v>324</v>
      </c>
      <c r="D214" s="3" t="s">
        <v>74</v>
      </c>
      <c r="E214" s="1" t="s">
        <v>17</v>
      </c>
      <c r="F214" s="3" t="s">
        <v>325</v>
      </c>
      <c r="G214" s="1" t="s">
        <v>21</v>
      </c>
      <c r="H214" s="1" t="s">
        <v>19</v>
      </c>
      <c r="M214" s="1" t="s">
        <v>61</v>
      </c>
      <c r="N214" s="1" t="s">
        <v>62</v>
      </c>
    </row>
    <row r="215" spans="1:14" ht="12.75">
      <c r="A215" s="1">
        <v>60</v>
      </c>
      <c r="B215" s="1">
        <v>1992</v>
      </c>
      <c r="C215" s="2" t="s">
        <v>326</v>
      </c>
      <c r="D215" s="3" t="s">
        <v>147</v>
      </c>
      <c r="E215" s="1" t="s">
        <v>17</v>
      </c>
      <c r="F215" s="3" t="s">
        <v>327</v>
      </c>
      <c r="G215" s="1" t="s">
        <v>21</v>
      </c>
      <c r="H215" s="1" t="s">
        <v>19</v>
      </c>
      <c r="M215" s="1" t="s">
        <v>61</v>
      </c>
      <c r="N215" s="1" t="s">
        <v>62</v>
      </c>
    </row>
    <row r="216" spans="1:14" ht="12.75">
      <c r="A216" s="1">
        <v>59</v>
      </c>
      <c r="B216" s="1">
        <v>1992</v>
      </c>
      <c r="C216" s="2" t="s">
        <v>328</v>
      </c>
      <c r="D216" s="1" t="s">
        <v>21</v>
      </c>
      <c r="E216" s="1" t="s">
        <v>17</v>
      </c>
      <c r="F216" s="3" t="s">
        <v>329</v>
      </c>
      <c r="G216" s="1" t="s">
        <v>21</v>
      </c>
      <c r="H216" s="1" t="s">
        <v>19</v>
      </c>
      <c r="M216" s="1" t="s">
        <v>61</v>
      </c>
      <c r="N216" s="1" t="s">
        <v>62</v>
      </c>
    </row>
    <row r="217" spans="1:14" ht="12.75">
      <c r="A217" s="1">
        <v>58</v>
      </c>
      <c r="B217" s="1">
        <v>1991</v>
      </c>
      <c r="C217" s="2" t="s">
        <v>330</v>
      </c>
      <c r="D217" s="3" t="s">
        <v>310</v>
      </c>
      <c r="E217" s="1" t="s">
        <v>17</v>
      </c>
      <c r="F217" s="3" t="s">
        <v>331</v>
      </c>
      <c r="G217" s="1" t="s">
        <v>21</v>
      </c>
      <c r="H217" s="1" t="s">
        <v>19</v>
      </c>
      <c r="M217" s="1" t="s">
        <v>61</v>
      </c>
      <c r="N217" s="1" t="s">
        <v>62</v>
      </c>
    </row>
    <row r="218" spans="1:14" ht="12.75">
      <c r="A218" s="1">
        <v>57</v>
      </c>
      <c r="B218" s="1">
        <v>1991</v>
      </c>
      <c r="C218" s="2" t="s">
        <v>332</v>
      </c>
      <c r="D218" s="3" t="s">
        <v>147</v>
      </c>
      <c r="E218" s="1" t="s">
        <v>17</v>
      </c>
      <c r="F218" s="3" t="s">
        <v>333</v>
      </c>
      <c r="G218" s="1" t="s">
        <v>21</v>
      </c>
      <c r="K218" s="1" t="s">
        <v>29</v>
      </c>
      <c r="M218" s="1" t="s">
        <v>61</v>
      </c>
      <c r="N218" s="1" t="s">
        <v>62</v>
      </c>
    </row>
    <row r="219" spans="1:14" ht="12.75">
      <c r="A219" s="1">
        <v>56</v>
      </c>
      <c r="B219" s="1">
        <v>1991</v>
      </c>
      <c r="C219" s="2" t="s">
        <v>334</v>
      </c>
      <c r="D219" s="3" t="s">
        <v>147</v>
      </c>
      <c r="E219" s="1" t="s">
        <v>17</v>
      </c>
      <c r="F219" s="3" t="s">
        <v>335</v>
      </c>
      <c r="G219" s="1" t="s">
        <v>21</v>
      </c>
      <c r="H219" s="1" t="s">
        <v>19</v>
      </c>
      <c r="M219" s="1" t="s">
        <v>61</v>
      </c>
      <c r="N219" s="1" t="s">
        <v>62</v>
      </c>
    </row>
    <row r="220" spans="1:14" ht="12.75">
      <c r="A220" s="1">
        <v>55</v>
      </c>
      <c r="B220" s="1">
        <v>1990</v>
      </c>
      <c r="C220" s="2" t="s">
        <v>336</v>
      </c>
      <c r="D220" s="3" t="s">
        <v>337</v>
      </c>
      <c r="E220" s="1" t="s">
        <v>17</v>
      </c>
      <c r="F220" s="3" t="s">
        <v>338</v>
      </c>
      <c r="G220" s="1" t="s">
        <v>21</v>
      </c>
      <c r="J220" s="1" t="s">
        <v>25</v>
      </c>
      <c r="M220" s="1" t="s">
        <v>61</v>
      </c>
      <c r="N220" s="1" t="s">
        <v>62</v>
      </c>
    </row>
    <row r="221" spans="1:14" ht="12.75">
      <c r="A221" s="1">
        <v>54</v>
      </c>
      <c r="B221" s="1">
        <v>1990</v>
      </c>
      <c r="C221" s="2" t="s">
        <v>339</v>
      </c>
      <c r="D221" s="1" t="s">
        <v>21</v>
      </c>
      <c r="E221" s="1" t="s">
        <v>184</v>
      </c>
      <c r="F221" s="3" t="s">
        <v>340</v>
      </c>
      <c r="G221" s="1" t="s">
        <v>21</v>
      </c>
      <c r="J221" s="1" t="s">
        <v>25</v>
      </c>
      <c r="M221" s="1" t="s">
        <v>61</v>
      </c>
      <c r="N221" s="1" t="s">
        <v>62</v>
      </c>
    </row>
    <row r="222" spans="1:14" ht="12.75">
      <c r="A222" s="1">
        <v>53</v>
      </c>
      <c r="B222" s="1">
        <v>1990</v>
      </c>
      <c r="C222" s="2" t="s">
        <v>341</v>
      </c>
      <c r="D222" s="3" t="s">
        <v>179</v>
      </c>
      <c r="E222" s="1" t="s">
        <v>17</v>
      </c>
      <c r="F222" s="3" t="s">
        <v>342</v>
      </c>
      <c r="G222" s="1" t="s">
        <v>21</v>
      </c>
      <c r="J222" s="1" t="s">
        <v>25</v>
      </c>
      <c r="M222" s="1" t="s">
        <v>61</v>
      </c>
      <c r="N222" s="1" t="s">
        <v>62</v>
      </c>
    </row>
    <row r="223" spans="1:14" ht="12.75">
      <c r="A223" s="1">
        <v>52</v>
      </c>
      <c r="B223" s="1">
        <v>1990</v>
      </c>
      <c r="C223" s="2" t="s">
        <v>343</v>
      </c>
      <c r="D223" s="3" t="s">
        <v>147</v>
      </c>
      <c r="E223" s="1" t="s">
        <v>17</v>
      </c>
      <c r="F223" s="3" t="s">
        <v>344</v>
      </c>
      <c r="G223" s="1" t="s">
        <v>21</v>
      </c>
      <c r="H223" s="1" t="s">
        <v>19</v>
      </c>
      <c r="M223" s="1" t="s">
        <v>61</v>
      </c>
      <c r="N223" s="1" t="s">
        <v>62</v>
      </c>
    </row>
    <row r="224" spans="1:14" ht="12.75">
      <c r="A224" s="1">
        <v>51</v>
      </c>
      <c r="B224" s="1">
        <v>1990</v>
      </c>
      <c r="C224" s="2" t="s">
        <v>345</v>
      </c>
      <c r="D224" s="3" t="s">
        <v>346</v>
      </c>
      <c r="E224" s="1" t="s">
        <v>17</v>
      </c>
      <c r="F224" s="3" t="s">
        <v>347</v>
      </c>
      <c r="G224" s="1" t="s">
        <v>21</v>
      </c>
      <c r="H224" s="1" t="s">
        <v>19</v>
      </c>
      <c r="M224" s="1" t="s">
        <v>61</v>
      </c>
      <c r="N224" s="1" t="s">
        <v>62</v>
      </c>
    </row>
    <row r="225" spans="1:14" ht="12.75">
      <c r="A225" s="1">
        <v>50</v>
      </c>
      <c r="B225" s="1">
        <v>1990</v>
      </c>
      <c r="C225" s="2" t="s">
        <v>348</v>
      </c>
      <c r="D225" s="3" t="s">
        <v>349</v>
      </c>
      <c r="E225" s="1" t="s">
        <v>17</v>
      </c>
      <c r="F225" s="3" t="s">
        <v>350</v>
      </c>
      <c r="G225" s="1" t="s">
        <v>21</v>
      </c>
      <c r="H225" s="1" t="s">
        <v>19</v>
      </c>
      <c r="M225" s="1" t="s">
        <v>61</v>
      </c>
      <c r="N225" s="1" t="s">
        <v>62</v>
      </c>
    </row>
    <row r="226" spans="1:14" ht="12.75">
      <c r="A226" s="1">
        <v>49</v>
      </c>
      <c r="B226" s="1">
        <v>1988</v>
      </c>
      <c r="C226" s="2" t="s">
        <v>351</v>
      </c>
      <c r="D226" s="3" t="s">
        <v>352</v>
      </c>
      <c r="E226" s="1" t="s">
        <v>17</v>
      </c>
      <c r="F226" s="3" t="s">
        <v>353</v>
      </c>
      <c r="G226" s="1" t="s">
        <v>21</v>
      </c>
      <c r="J226" s="1" t="s">
        <v>25</v>
      </c>
      <c r="M226" s="1" t="s">
        <v>61</v>
      </c>
      <c r="N226" s="1" t="s">
        <v>62</v>
      </c>
    </row>
    <row r="227" spans="1:14" ht="12.75">
      <c r="A227" s="1">
        <v>48</v>
      </c>
      <c r="B227" s="1">
        <v>1988</v>
      </c>
      <c r="C227" s="2" t="s">
        <v>354</v>
      </c>
      <c r="D227" s="3" t="s">
        <v>147</v>
      </c>
      <c r="E227" s="1" t="s">
        <v>38</v>
      </c>
      <c r="F227" s="3" t="s">
        <v>355</v>
      </c>
      <c r="G227" s="1" t="s">
        <v>21</v>
      </c>
      <c r="H227" s="1" t="s">
        <v>19</v>
      </c>
      <c r="M227" s="1" t="s">
        <v>61</v>
      </c>
      <c r="N227" s="1" t="s">
        <v>62</v>
      </c>
    </row>
    <row r="228" spans="1:14" ht="12.75">
      <c r="A228" s="1">
        <v>47</v>
      </c>
      <c r="B228" s="1">
        <v>1988</v>
      </c>
      <c r="C228" s="2" t="s">
        <v>356</v>
      </c>
      <c r="D228" s="3" t="s">
        <v>346</v>
      </c>
      <c r="E228" s="1" t="s">
        <v>17</v>
      </c>
      <c r="F228" s="3" t="s">
        <v>357</v>
      </c>
      <c r="G228" s="1" t="s">
        <v>21</v>
      </c>
      <c r="H228" s="1" t="s">
        <v>19</v>
      </c>
      <c r="M228" s="1" t="s">
        <v>61</v>
      </c>
      <c r="N228" s="1" t="s">
        <v>62</v>
      </c>
    </row>
    <row r="229" spans="1:14" ht="12.75">
      <c r="A229" s="1">
        <v>46</v>
      </c>
      <c r="B229" s="1">
        <v>1988</v>
      </c>
      <c r="C229" s="2" t="s">
        <v>358</v>
      </c>
      <c r="D229" s="3" t="s">
        <v>52</v>
      </c>
      <c r="E229" s="1" t="s">
        <v>17</v>
      </c>
      <c r="F229" s="3" t="s">
        <v>295</v>
      </c>
      <c r="G229" s="1" t="s">
        <v>21</v>
      </c>
      <c r="J229" s="1" t="s">
        <v>25</v>
      </c>
      <c r="M229" s="1" t="s">
        <v>61</v>
      </c>
      <c r="N229" s="1" t="s">
        <v>62</v>
      </c>
    </row>
    <row r="230" spans="1:14" ht="12.75">
      <c r="A230" s="1">
        <v>45</v>
      </c>
      <c r="B230" s="1">
        <v>1988</v>
      </c>
      <c r="C230" s="2" t="s">
        <v>359</v>
      </c>
      <c r="D230" s="3" t="s">
        <v>147</v>
      </c>
      <c r="E230" s="1" t="s">
        <v>17</v>
      </c>
      <c r="F230" s="3" t="s">
        <v>360</v>
      </c>
      <c r="G230" s="1" t="s">
        <v>21</v>
      </c>
      <c r="H230" s="1" t="s">
        <v>19</v>
      </c>
      <c r="M230" s="1" t="s">
        <v>61</v>
      </c>
      <c r="N230" s="1" t="s">
        <v>62</v>
      </c>
    </row>
    <row r="231" spans="1:14" ht="12.75">
      <c r="A231" s="1">
        <v>44</v>
      </c>
      <c r="B231" s="1">
        <v>1987</v>
      </c>
      <c r="C231" s="2" t="s">
        <v>361</v>
      </c>
      <c r="D231" s="1" t="s">
        <v>21</v>
      </c>
      <c r="E231" s="1" t="s">
        <v>17</v>
      </c>
      <c r="F231" s="3" t="s">
        <v>362</v>
      </c>
      <c r="G231" s="1" t="s">
        <v>21</v>
      </c>
      <c r="H231" s="1" t="s">
        <v>19</v>
      </c>
      <c r="M231" s="1" t="s">
        <v>61</v>
      </c>
      <c r="N231" s="1" t="s">
        <v>62</v>
      </c>
    </row>
    <row r="232" spans="1:14" ht="12.75">
      <c r="A232" s="1">
        <v>43</v>
      </c>
      <c r="B232" s="1">
        <v>1987</v>
      </c>
      <c r="C232" s="2" t="s">
        <v>363</v>
      </c>
      <c r="D232" s="3" t="s">
        <v>364</v>
      </c>
      <c r="E232" s="1" t="s">
        <v>17</v>
      </c>
      <c r="F232" s="3" t="s">
        <v>365</v>
      </c>
      <c r="G232" s="1" t="s">
        <v>21</v>
      </c>
      <c r="H232" s="1" t="s">
        <v>19</v>
      </c>
      <c r="M232" s="1" t="s">
        <v>61</v>
      </c>
      <c r="N232" s="1" t="s">
        <v>62</v>
      </c>
    </row>
    <row r="233" spans="1:14" ht="12.75">
      <c r="A233" s="1">
        <v>42</v>
      </c>
      <c r="B233" s="1">
        <v>1987</v>
      </c>
      <c r="C233" s="2" t="s">
        <v>366</v>
      </c>
      <c r="D233" s="3" t="s">
        <v>346</v>
      </c>
      <c r="E233" s="1" t="s">
        <v>17</v>
      </c>
      <c r="F233" s="3" t="s">
        <v>367</v>
      </c>
      <c r="G233" s="1" t="s">
        <v>21</v>
      </c>
      <c r="H233" s="1" t="s">
        <v>19</v>
      </c>
      <c r="M233" s="1" t="s">
        <v>61</v>
      </c>
      <c r="N233" s="1" t="s">
        <v>62</v>
      </c>
    </row>
    <row r="234" spans="1:14" ht="12.75">
      <c r="A234" s="1">
        <v>41</v>
      </c>
      <c r="B234" s="1">
        <v>1987</v>
      </c>
      <c r="C234" s="2" t="s">
        <v>368</v>
      </c>
      <c r="D234" s="3" t="s">
        <v>346</v>
      </c>
      <c r="E234" s="1" t="s">
        <v>17</v>
      </c>
      <c r="F234" s="3" t="s">
        <v>369</v>
      </c>
      <c r="G234" s="1" t="s">
        <v>21</v>
      </c>
      <c r="H234" s="1" t="s">
        <v>19</v>
      </c>
      <c r="M234" s="1" t="s">
        <v>61</v>
      </c>
      <c r="N234" s="1" t="s">
        <v>62</v>
      </c>
    </row>
    <row r="235" spans="1:14" ht="12.75">
      <c r="A235" s="1">
        <v>40</v>
      </c>
      <c r="B235" s="1">
        <v>1987</v>
      </c>
      <c r="C235" s="2" t="s">
        <v>370</v>
      </c>
      <c r="D235" s="3" t="s">
        <v>147</v>
      </c>
      <c r="E235" s="1" t="s">
        <v>17</v>
      </c>
      <c r="F235" s="3" t="s">
        <v>371</v>
      </c>
      <c r="G235" s="1" t="s">
        <v>21</v>
      </c>
      <c r="H235" s="1" t="s">
        <v>19</v>
      </c>
      <c r="M235" s="1" t="s">
        <v>61</v>
      </c>
      <c r="N235" s="1" t="s">
        <v>62</v>
      </c>
    </row>
    <row r="236" spans="1:14" ht="12.75">
      <c r="A236" s="1">
        <v>39</v>
      </c>
      <c r="B236" s="1">
        <v>1987</v>
      </c>
      <c r="C236" s="2" t="s">
        <v>372</v>
      </c>
      <c r="D236" s="3" t="s">
        <v>147</v>
      </c>
      <c r="E236" s="1" t="s">
        <v>17</v>
      </c>
      <c r="F236" s="3" t="s">
        <v>373</v>
      </c>
      <c r="G236" s="1" t="s">
        <v>21</v>
      </c>
      <c r="H236" s="1" t="s">
        <v>19</v>
      </c>
      <c r="M236" s="1" t="s">
        <v>61</v>
      </c>
      <c r="N236" s="1" t="s">
        <v>62</v>
      </c>
    </row>
    <row r="237" spans="1:14" ht="12.75">
      <c r="A237" s="1">
        <v>38</v>
      </c>
      <c r="B237" s="1">
        <v>1986</v>
      </c>
      <c r="C237" s="2" t="s">
        <v>374</v>
      </c>
      <c r="D237" s="3" t="s">
        <v>349</v>
      </c>
      <c r="E237" s="1" t="s">
        <v>17</v>
      </c>
      <c r="F237" s="3" t="s">
        <v>375</v>
      </c>
      <c r="G237" s="1" t="s">
        <v>21</v>
      </c>
      <c r="H237" s="1" t="s">
        <v>19</v>
      </c>
      <c r="M237" s="1" t="s">
        <v>61</v>
      </c>
      <c r="N237" s="1" t="s">
        <v>90</v>
      </c>
    </row>
    <row r="238" spans="1:14" ht="12.75">
      <c r="A238" s="1">
        <v>37</v>
      </c>
      <c r="B238" s="1">
        <v>1986</v>
      </c>
      <c r="C238" s="2" t="s">
        <v>376</v>
      </c>
      <c r="D238" s="3" t="s">
        <v>147</v>
      </c>
      <c r="E238" s="1" t="s">
        <v>17</v>
      </c>
      <c r="F238" s="3" t="s">
        <v>377</v>
      </c>
      <c r="G238" s="1" t="s">
        <v>21</v>
      </c>
      <c r="H238" s="1" t="s">
        <v>19</v>
      </c>
      <c r="M238" s="1" t="s">
        <v>61</v>
      </c>
      <c r="N238" s="1" t="s">
        <v>62</v>
      </c>
    </row>
    <row r="239" spans="1:14" ht="12.75">
      <c r="A239" s="1">
        <v>36</v>
      </c>
      <c r="B239" s="1">
        <v>1985</v>
      </c>
      <c r="C239" s="2" t="s">
        <v>378</v>
      </c>
      <c r="D239" s="3" t="s">
        <v>349</v>
      </c>
      <c r="E239" s="1" t="s">
        <v>38</v>
      </c>
      <c r="F239" s="3" t="s">
        <v>379</v>
      </c>
      <c r="G239" s="1" t="s">
        <v>21</v>
      </c>
      <c r="H239" s="1" t="s">
        <v>19</v>
      </c>
      <c r="M239" s="1" t="s">
        <v>61</v>
      </c>
      <c r="N239" s="1" t="s">
        <v>62</v>
      </c>
    </row>
    <row r="240" spans="1:14" ht="12.75">
      <c r="A240" s="1">
        <v>35</v>
      </c>
      <c r="B240" s="1">
        <v>1985</v>
      </c>
      <c r="C240" s="2" t="s">
        <v>380</v>
      </c>
      <c r="D240" s="3" t="s">
        <v>346</v>
      </c>
      <c r="E240" s="1" t="s">
        <v>38</v>
      </c>
      <c r="F240" s="3" t="s">
        <v>381</v>
      </c>
      <c r="G240" s="1" t="s">
        <v>21</v>
      </c>
      <c r="H240" s="1" t="s">
        <v>19</v>
      </c>
      <c r="M240" s="1" t="s">
        <v>61</v>
      </c>
      <c r="N240" s="1" t="s">
        <v>62</v>
      </c>
    </row>
    <row r="241" spans="1:14" ht="12.75">
      <c r="A241" s="1">
        <v>34</v>
      </c>
      <c r="B241" s="1">
        <v>1984</v>
      </c>
      <c r="C241" s="2" t="s">
        <v>382</v>
      </c>
      <c r="D241" s="1" t="s">
        <v>21</v>
      </c>
      <c r="E241" s="1" t="s">
        <v>17</v>
      </c>
      <c r="F241" s="3" t="s">
        <v>383</v>
      </c>
      <c r="G241" s="1" t="s">
        <v>21</v>
      </c>
      <c r="H241" s="1" t="s">
        <v>19</v>
      </c>
      <c r="M241" s="1" t="s">
        <v>61</v>
      </c>
      <c r="N241" s="1" t="s">
        <v>62</v>
      </c>
    </row>
    <row r="242" spans="1:14" ht="12.75">
      <c r="A242" s="1">
        <v>33</v>
      </c>
      <c r="B242" s="1">
        <v>1984</v>
      </c>
      <c r="C242" s="2" t="s">
        <v>384</v>
      </c>
      <c r="D242" s="1" t="s">
        <v>21</v>
      </c>
      <c r="E242" s="1" t="s">
        <v>17</v>
      </c>
      <c r="F242" s="3" t="s">
        <v>385</v>
      </c>
      <c r="G242" s="1" t="s">
        <v>21</v>
      </c>
      <c r="H242" s="1" t="s">
        <v>19</v>
      </c>
      <c r="M242" s="1" t="s">
        <v>61</v>
      </c>
      <c r="N242" s="1" t="s">
        <v>62</v>
      </c>
    </row>
    <row r="243" spans="1:14" ht="12.75">
      <c r="A243" s="1">
        <v>32</v>
      </c>
      <c r="B243" s="1">
        <v>1984</v>
      </c>
      <c r="C243" s="2" t="s">
        <v>386</v>
      </c>
      <c r="D243" s="3" t="s">
        <v>310</v>
      </c>
      <c r="E243" s="1" t="s">
        <v>17</v>
      </c>
      <c r="F243" s="3" t="s">
        <v>387</v>
      </c>
      <c r="G243" s="1" t="s">
        <v>21</v>
      </c>
      <c r="H243" s="1" t="s">
        <v>19</v>
      </c>
      <c r="M243" s="1" t="s">
        <v>61</v>
      </c>
      <c r="N243" s="1" t="s">
        <v>62</v>
      </c>
    </row>
    <row r="244" spans="1:14" ht="12.75">
      <c r="A244" s="1">
        <v>31</v>
      </c>
      <c r="B244" s="1">
        <v>1984</v>
      </c>
      <c r="C244" s="2" t="s">
        <v>388</v>
      </c>
      <c r="D244" s="3" t="s">
        <v>147</v>
      </c>
      <c r="E244" s="1" t="s">
        <v>17</v>
      </c>
      <c r="F244" s="3" t="s">
        <v>389</v>
      </c>
      <c r="G244" s="1" t="s">
        <v>21</v>
      </c>
      <c r="H244" s="1" t="s">
        <v>19</v>
      </c>
      <c r="M244" s="1" t="s">
        <v>61</v>
      </c>
      <c r="N244" s="1" t="s">
        <v>62</v>
      </c>
    </row>
    <row r="245" spans="1:14" ht="12.75">
      <c r="A245" s="1">
        <v>30</v>
      </c>
      <c r="B245" s="1">
        <v>1983</v>
      </c>
      <c r="C245" s="2" t="s">
        <v>390</v>
      </c>
      <c r="D245" s="3" t="s">
        <v>391</v>
      </c>
      <c r="E245" s="1" t="s">
        <v>17</v>
      </c>
      <c r="F245" s="3" t="s">
        <v>392</v>
      </c>
      <c r="G245" s="1" t="s">
        <v>21</v>
      </c>
      <c r="J245" s="1" t="s">
        <v>25</v>
      </c>
      <c r="M245" s="1" t="s">
        <v>61</v>
      </c>
      <c r="N245" s="1" t="s">
        <v>62</v>
      </c>
    </row>
    <row r="246" spans="1:14" ht="12.75">
      <c r="A246" s="1">
        <v>29</v>
      </c>
      <c r="B246" s="1">
        <v>1983</v>
      </c>
      <c r="C246" s="2" t="s">
        <v>393</v>
      </c>
      <c r="D246" s="3" t="s">
        <v>346</v>
      </c>
      <c r="E246" s="1" t="s">
        <v>38</v>
      </c>
      <c r="F246" s="3" t="s">
        <v>394</v>
      </c>
      <c r="G246" s="1" t="s">
        <v>21</v>
      </c>
      <c r="I246" s="1" t="s">
        <v>33</v>
      </c>
      <c r="M246" s="1" t="s">
        <v>61</v>
      </c>
      <c r="N246" s="1" t="s">
        <v>90</v>
      </c>
    </row>
    <row r="247" spans="1:14" ht="12.75">
      <c r="A247" s="1">
        <v>28</v>
      </c>
      <c r="B247" s="1">
        <v>1983</v>
      </c>
      <c r="C247" s="2" t="s">
        <v>395</v>
      </c>
      <c r="D247" s="3" t="s">
        <v>346</v>
      </c>
      <c r="E247" s="1" t="s">
        <v>17</v>
      </c>
      <c r="F247" s="3" t="s">
        <v>396</v>
      </c>
      <c r="G247" s="1" t="s">
        <v>21</v>
      </c>
      <c r="H247" s="1" t="s">
        <v>19</v>
      </c>
      <c r="M247" s="1" t="s">
        <v>61</v>
      </c>
      <c r="N247" s="1" t="s">
        <v>62</v>
      </c>
    </row>
    <row r="248" spans="1:14" ht="12.75">
      <c r="A248" s="1">
        <v>27</v>
      </c>
      <c r="B248" s="1">
        <v>1983</v>
      </c>
      <c r="C248" s="2" t="s">
        <v>397</v>
      </c>
      <c r="D248" s="3" t="s">
        <v>349</v>
      </c>
      <c r="E248" s="1" t="s">
        <v>17</v>
      </c>
      <c r="F248" s="3" t="s">
        <v>398</v>
      </c>
      <c r="G248" s="1" t="s">
        <v>21</v>
      </c>
      <c r="H248" s="1" t="s">
        <v>19</v>
      </c>
      <c r="M248" s="1" t="s">
        <v>61</v>
      </c>
      <c r="N248" s="1" t="s">
        <v>62</v>
      </c>
    </row>
    <row r="249" spans="1:14" ht="12.75">
      <c r="A249" s="1">
        <v>26</v>
      </c>
      <c r="B249" s="1">
        <v>1981</v>
      </c>
      <c r="C249" s="2" t="s">
        <v>399</v>
      </c>
      <c r="D249" s="1" t="s">
        <v>21</v>
      </c>
      <c r="E249" s="1" t="s">
        <v>17</v>
      </c>
      <c r="F249" s="3" t="s">
        <v>400</v>
      </c>
      <c r="G249" s="1" t="s">
        <v>21</v>
      </c>
      <c r="H249" s="1" t="s">
        <v>19</v>
      </c>
      <c r="M249" s="1" t="s">
        <v>61</v>
      </c>
      <c r="N249" s="1" t="s">
        <v>62</v>
      </c>
    </row>
    <row r="250" spans="1:14" ht="12.75">
      <c r="A250" s="1">
        <v>25</v>
      </c>
      <c r="B250" s="1">
        <v>1981</v>
      </c>
      <c r="C250" s="2" t="s">
        <v>401</v>
      </c>
      <c r="D250" s="3" t="s">
        <v>147</v>
      </c>
      <c r="E250" s="1" t="s">
        <v>17</v>
      </c>
      <c r="F250" s="3" t="s">
        <v>402</v>
      </c>
      <c r="G250" s="1" t="s">
        <v>21</v>
      </c>
      <c r="H250" s="1" t="s">
        <v>19</v>
      </c>
      <c r="M250" s="1" t="s">
        <v>61</v>
      </c>
      <c r="N250" s="1" t="s">
        <v>62</v>
      </c>
    </row>
    <row r="251" spans="1:14" ht="12.75">
      <c r="A251" s="1">
        <v>24</v>
      </c>
      <c r="B251" s="1">
        <v>1980</v>
      </c>
      <c r="C251" s="2" t="s">
        <v>403</v>
      </c>
      <c r="D251" s="3" t="s">
        <v>52</v>
      </c>
      <c r="E251" s="1" t="s">
        <v>17</v>
      </c>
      <c r="F251" s="3" t="s">
        <v>404</v>
      </c>
      <c r="G251" s="1" t="s">
        <v>21</v>
      </c>
      <c r="J251" s="1" t="s">
        <v>25</v>
      </c>
      <c r="M251" s="1" t="s">
        <v>61</v>
      </c>
      <c r="N251" s="1" t="s">
        <v>62</v>
      </c>
    </row>
    <row r="252" spans="1:14" ht="12.75">
      <c r="A252" s="1">
        <v>23</v>
      </c>
      <c r="B252" s="1">
        <v>1980</v>
      </c>
      <c r="C252" s="2" t="s">
        <v>405</v>
      </c>
      <c r="D252" s="1" t="s">
        <v>21</v>
      </c>
      <c r="E252" s="1" t="s">
        <v>17</v>
      </c>
      <c r="F252" s="3" t="s">
        <v>406</v>
      </c>
      <c r="G252" s="1" t="s">
        <v>21</v>
      </c>
      <c r="H252" s="1" t="s">
        <v>19</v>
      </c>
      <c r="M252" s="1" t="s">
        <v>61</v>
      </c>
      <c r="N252" s="1" t="s">
        <v>62</v>
      </c>
    </row>
    <row r="253" spans="1:14" ht="12.75">
      <c r="A253" s="1">
        <v>22</v>
      </c>
      <c r="B253" s="1">
        <v>1980</v>
      </c>
      <c r="C253" s="2" t="s">
        <v>407</v>
      </c>
      <c r="D253" s="1" t="s">
        <v>21</v>
      </c>
      <c r="E253" s="1" t="s">
        <v>17</v>
      </c>
      <c r="F253" s="3" t="s">
        <v>408</v>
      </c>
      <c r="G253" s="1" t="s">
        <v>21</v>
      </c>
      <c r="H253" s="1" t="s">
        <v>19</v>
      </c>
      <c r="M253" s="1" t="s">
        <v>61</v>
      </c>
      <c r="N253" s="1" t="s">
        <v>62</v>
      </c>
    </row>
    <row r="254" spans="1:14" ht="12.75">
      <c r="A254" s="1">
        <v>21</v>
      </c>
      <c r="B254" s="1">
        <v>1980</v>
      </c>
      <c r="C254" s="2" t="s">
        <v>409</v>
      </c>
      <c r="D254" s="1" t="s">
        <v>21</v>
      </c>
      <c r="E254" s="1" t="s">
        <v>17</v>
      </c>
      <c r="F254" s="3" t="s">
        <v>410</v>
      </c>
      <c r="G254" s="1" t="s">
        <v>21</v>
      </c>
      <c r="H254" s="1" t="s">
        <v>19</v>
      </c>
      <c r="M254" s="1" t="s">
        <v>61</v>
      </c>
      <c r="N254" s="1" t="s">
        <v>62</v>
      </c>
    </row>
    <row r="255" spans="1:14" ht="12.75">
      <c r="A255" s="1">
        <v>20</v>
      </c>
      <c r="B255" s="1">
        <v>1980</v>
      </c>
      <c r="C255" s="2" t="s">
        <v>411</v>
      </c>
      <c r="D255" s="3" t="s">
        <v>412</v>
      </c>
      <c r="E255" s="1" t="s">
        <v>17</v>
      </c>
      <c r="F255" s="3" t="s">
        <v>413</v>
      </c>
      <c r="G255" s="1" t="s">
        <v>21</v>
      </c>
      <c r="J255" s="1" t="s">
        <v>25</v>
      </c>
      <c r="M255" s="1" t="s">
        <v>61</v>
      </c>
      <c r="N255" s="1" t="s">
        <v>62</v>
      </c>
    </row>
    <row r="256" spans="1:14" ht="12.75">
      <c r="A256" s="1">
        <v>19</v>
      </c>
      <c r="B256" s="1">
        <v>1980</v>
      </c>
      <c r="C256" s="2" t="s">
        <v>414</v>
      </c>
      <c r="D256" s="3" t="s">
        <v>179</v>
      </c>
      <c r="E256" s="1" t="s">
        <v>17</v>
      </c>
      <c r="F256" s="3" t="s">
        <v>415</v>
      </c>
      <c r="G256" s="1" t="s">
        <v>21</v>
      </c>
      <c r="J256" s="1" t="s">
        <v>25</v>
      </c>
      <c r="M256" s="1" t="s">
        <v>61</v>
      </c>
      <c r="N256" s="1" t="s">
        <v>62</v>
      </c>
    </row>
    <row r="257" spans="1:14" ht="12.75">
      <c r="A257" s="1">
        <v>18</v>
      </c>
      <c r="B257" s="1">
        <v>1980</v>
      </c>
      <c r="C257" s="2" t="s">
        <v>416</v>
      </c>
      <c r="D257" s="3" t="s">
        <v>310</v>
      </c>
      <c r="E257" s="1" t="s">
        <v>17</v>
      </c>
      <c r="F257" s="3" t="s">
        <v>417</v>
      </c>
      <c r="G257" s="1" t="s">
        <v>21</v>
      </c>
      <c r="H257" s="1" t="s">
        <v>19</v>
      </c>
      <c r="M257" s="1" t="s">
        <v>61</v>
      </c>
      <c r="N257" s="1" t="s">
        <v>62</v>
      </c>
    </row>
    <row r="258" spans="1:14" ht="12.75">
      <c r="A258" s="1">
        <v>17</v>
      </c>
      <c r="B258" s="1">
        <v>1980</v>
      </c>
      <c r="C258" s="2" t="s">
        <v>418</v>
      </c>
      <c r="D258" s="3" t="s">
        <v>147</v>
      </c>
      <c r="E258" s="1" t="s">
        <v>17</v>
      </c>
      <c r="F258" s="3" t="s">
        <v>419</v>
      </c>
      <c r="G258" s="1" t="s">
        <v>21</v>
      </c>
      <c r="J258" s="1" t="s">
        <v>25</v>
      </c>
      <c r="M258" s="1" t="s">
        <v>61</v>
      </c>
      <c r="N258" s="1" t="s">
        <v>62</v>
      </c>
    </row>
    <row r="259" spans="1:14" ht="12.75">
      <c r="A259" s="1">
        <v>16</v>
      </c>
      <c r="B259" s="1">
        <v>1980</v>
      </c>
      <c r="C259" s="2" t="s">
        <v>420</v>
      </c>
      <c r="D259" s="1" t="s">
        <v>21</v>
      </c>
      <c r="E259" s="1" t="s">
        <v>17</v>
      </c>
      <c r="F259" s="3" t="s">
        <v>421</v>
      </c>
      <c r="G259" s="1" t="s">
        <v>21</v>
      </c>
      <c r="I259" s="1" t="s">
        <v>33</v>
      </c>
      <c r="M259" s="1" t="s">
        <v>61</v>
      </c>
      <c r="N259" s="1" t="s">
        <v>62</v>
      </c>
    </row>
    <row r="260" spans="1:14" ht="12.75">
      <c r="A260" s="1">
        <v>15</v>
      </c>
      <c r="B260" s="1">
        <v>1980</v>
      </c>
      <c r="C260" s="2" t="s">
        <v>422</v>
      </c>
      <c r="D260" s="3" t="s">
        <v>147</v>
      </c>
      <c r="E260" s="1" t="s">
        <v>17</v>
      </c>
      <c r="F260" s="3" t="s">
        <v>423</v>
      </c>
      <c r="G260" s="1" t="s">
        <v>21</v>
      </c>
      <c r="H260" s="1" t="s">
        <v>19</v>
      </c>
      <c r="M260" s="1" t="s">
        <v>61</v>
      </c>
      <c r="N260" s="1" t="s">
        <v>62</v>
      </c>
    </row>
    <row r="261" spans="1:14" ht="12.75">
      <c r="A261" s="1">
        <v>14</v>
      </c>
      <c r="B261" s="1">
        <v>1980</v>
      </c>
      <c r="C261" s="2" t="s">
        <v>424</v>
      </c>
      <c r="D261" s="3" t="s">
        <v>147</v>
      </c>
      <c r="E261" s="1" t="s">
        <v>17</v>
      </c>
      <c r="F261" s="3" t="s">
        <v>425</v>
      </c>
      <c r="G261" s="1" t="s">
        <v>21</v>
      </c>
      <c r="H261" s="1" t="s">
        <v>19</v>
      </c>
      <c r="M261" s="1" t="s">
        <v>61</v>
      </c>
      <c r="N261" s="1" t="s">
        <v>62</v>
      </c>
    </row>
    <row r="262" spans="1:14" ht="12.75">
      <c r="A262" s="1">
        <v>13</v>
      </c>
      <c r="B262" s="1">
        <v>1979</v>
      </c>
      <c r="C262" s="2" t="s">
        <v>426</v>
      </c>
      <c r="D262" s="3" t="s">
        <v>179</v>
      </c>
      <c r="E262" s="1" t="s">
        <v>17</v>
      </c>
      <c r="F262" s="3" t="s">
        <v>427</v>
      </c>
      <c r="G262" s="1" t="s">
        <v>21</v>
      </c>
      <c r="J262" s="1" t="s">
        <v>25</v>
      </c>
      <c r="M262" s="1" t="s">
        <v>61</v>
      </c>
      <c r="N262" s="1" t="s">
        <v>62</v>
      </c>
    </row>
    <row r="263" spans="1:14" ht="12.75">
      <c r="A263" s="1">
        <v>12</v>
      </c>
      <c r="B263" s="1">
        <v>1979</v>
      </c>
      <c r="C263" s="2" t="s">
        <v>428</v>
      </c>
      <c r="D263" s="1" t="s">
        <v>21</v>
      </c>
      <c r="E263" s="1" t="s">
        <v>137</v>
      </c>
      <c r="F263" s="3" t="s">
        <v>429</v>
      </c>
      <c r="G263" s="1" t="s">
        <v>21</v>
      </c>
      <c r="H263" s="1" t="s">
        <v>19</v>
      </c>
      <c r="M263" s="1" t="s">
        <v>61</v>
      </c>
      <c r="N263" s="1" t="s">
        <v>62</v>
      </c>
    </row>
    <row r="264" spans="1:14" ht="12.75">
      <c r="A264" s="1">
        <v>11</v>
      </c>
      <c r="B264" s="1">
        <v>1977</v>
      </c>
      <c r="C264" s="2" t="s">
        <v>430</v>
      </c>
      <c r="D264" s="3" t="s">
        <v>431</v>
      </c>
      <c r="E264" s="1" t="s">
        <v>38</v>
      </c>
      <c r="F264" s="3" t="s">
        <v>432</v>
      </c>
      <c r="G264" s="1" t="s">
        <v>21</v>
      </c>
      <c r="H264" s="1" t="s">
        <v>19</v>
      </c>
      <c r="M264" s="1" t="s">
        <v>61</v>
      </c>
      <c r="N264" s="1" t="s">
        <v>62</v>
      </c>
    </row>
    <row r="265" spans="1:14" ht="12.75">
      <c r="A265" s="1">
        <v>10</v>
      </c>
      <c r="B265" s="1">
        <v>1977</v>
      </c>
      <c r="C265" s="2" t="s">
        <v>433</v>
      </c>
      <c r="D265" s="3" t="s">
        <v>434</v>
      </c>
      <c r="E265" s="1" t="s">
        <v>38</v>
      </c>
      <c r="F265" s="3" t="s">
        <v>435</v>
      </c>
      <c r="G265" s="1" t="s">
        <v>21</v>
      </c>
      <c r="H265" s="1" t="s">
        <v>19</v>
      </c>
      <c r="M265" s="1" t="s">
        <v>61</v>
      </c>
      <c r="N265" s="1" t="s">
        <v>62</v>
      </c>
    </row>
    <row r="266" spans="1:14" ht="12.75">
      <c r="A266" s="1">
        <v>9</v>
      </c>
      <c r="B266" s="1">
        <v>1976</v>
      </c>
      <c r="C266" s="2" t="s">
        <v>436</v>
      </c>
      <c r="D266" s="3" t="s">
        <v>412</v>
      </c>
      <c r="E266" s="1" t="s">
        <v>38</v>
      </c>
      <c r="F266" s="3" t="s">
        <v>437</v>
      </c>
      <c r="G266" s="1" t="s">
        <v>21</v>
      </c>
      <c r="H266" s="1" t="s">
        <v>19</v>
      </c>
      <c r="M266" s="1" t="s">
        <v>61</v>
      </c>
      <c r="N266" s="1" t="s">
        <v>62</v>
      </c>
    </row>
    <row r="267" spans="1:14" ht="12.75">
      <c r="A267" s="1">
        <v>8</v>
      </c>
      <c r="B267" s="1">
        <v>1975</v>
      </c>
      <c r="C267" s="2" t="s">
        <v>390</v>
      </c>
      <c r="D267" s="3" t="s">
        <v>391</v>
      </c>
      <c r="E267" s="1" t="s">
        <v>137</v>
      </c>
      <c r="F267" s="3" t="s">
        <v>438</v>
      </c>
      <c r="G267" s="1" t="s">
        <v>21</v>
      </c>
      <c r="J267" s="1" t="s">
        <v>25</v>
      </c>
      <c r="M267" s="1" t="s">
        <v>61</v>
      </c>
      <c r="N267" s="1" t="s">
        <v>62</v>
      </c>
    </row>
    <row r="268" spans="1:14" ht="12.75">
      <c r="A268" s="1">
        <v>7</v>
      </c>
      <c r="B268" s="1">
        <v>1975</v>
      </c>
      <c r="C268" s="2" t="s">
        <v>439</v>
      </c>
      <c r="D268" s="3" t="s">
        <v>412</v>
      </c>
      <c r="E268" s="1" t="s">
        <v>17</v>
      </c>
      <c r="F268" s="3" t="s">
        <v>440</v>
      </c>
      <c r="G268" s="1" t="s">
        <v>21</v>
      </c>
      <c r="J268" s="1" t="s">
        <v>25</v>
      </c>
      <c r="M268" s="1" t="s">
        <v>61</v>
      </c>
      <c r="N268" s="1" t="s">
        <v>62</v>
      </c>
    </row>
    <row r="269" spans="1:14" ht="12.75">
      <c r="A269" s="1">
        <v>6</v>
      </c>
      <c r="B269" s="1">
        <v>1975</v>
      </c>
      <c r="C269" s="2" t="s">
        <v>441</v>
      </c>
      <c r="D269" s="1" t="s">
        <v>21</v>
      </c>
      <c r="E269" s="1" t="s">
        <v>17</v>
      </c>
      <c r="F269" s="3" t="s">
        <v>442</v>
      </c>
      <c r="G269" s="1" t="s">
        <v>21</v>
      </c>
      <c r="J269" s="1" t="s">
        <v>25</v>
      </c>
      <c r="M269" s="1" t="s">
        <v>61</v>
      </c>
      <c r="N269" s="1" t="s">
        <v>62</v>
      </c>
    </row>
    <row r="270" spans="1:14" ht="12.75">
      <c r="A270" s="1">
        <v>5</v>
      </c>
      <c r="B270" s="1">
        <v>1974</v>
      </c>
      <c r="C270" s="2" t="s">
        <v>443</v>
      </c>
      <c r="D270" s="3" t="s">
        <v>444</v>
      </c>
      <c r="E270" s="1" t="s">
        <v>17</v>
      </c>
      <c r="F270" s="3" t="s">
        <v>445</v>
      </c>
      <c r="G270" s="1" t="s">
        <v>21</v>
      </c>
      <c r="J270" s="1" t="s">
        <v>25</v>
      </c>
      <c r="M270" s="1" t="s">
        <v>61</v>
      </c>
      <c r="N270" s="1" t="s">
        <v>62</v>
      </c>
    </row>
    <row r="271" spans="1:14" ht="12.75">
      <c r="A271" s="1">
        <v>4</v>
      </c>
      <c r="B271" s="1">
        <v>1974</v>
      </c>
      <c r="C271" s="2" t="s">
        <v>446</v>
      </c>
      <c r="D271" s="3" t="s">
        <v>310</v>
      </c>
      <c r="E271" s="1" t="s">
        <v>17</v>
      </c>
      <c r="F271" s="3" t="s">
        <v>447</v>
      </c>
      <c r="G271" s="1" t="s">
        <v>21</v>
      </c>
      <c r="H271" s="1" t="s">
        <v>19</v>
      </c>
      <c r="M271" s="1" t="s">
        <v>61</v>
      </c>
      <c r="N271" s="1" t="s">
        <v>62</v>
      </c>
    </row>
    <row r="272" spans="1:14" ht="12.75">
      <c r="A272" s="1">
        <v>3</v>
      </c>
      <c r="B272" s="1">
        <v>1967</v>
      </c>
      <c r="C272" s="2" t="s">
        <v>448</v>
      </c>
      <c r="D272" s="3" t="s">
        <v>449</v>
      </c>
      <c r="E272" s="1" t="s">
        <v>17</v>
      </c>
      <c r="F272" s="3" t="s">
        <v>450</v>
      </c>
      <c r="G272" s="1" t="s">
        <v>21</v>
      </c>
      <c r="J272" s="1" t="s">
        <v>25</v>
      </c>
      <c r="M272" s="1" t="s">
        <v>61</v>
      </c>
      <c r="N272" s="1" t="s">
        <v>62</v>
      </c>
    </row>
    <row r="273" spans="1:14" ht="12.75">
      <c r="A273" s="1">
        <v>2</v>
      </c>
      <c r="B273" s="1">
        <v>1967</v>
      </c>
      <c r="C273" s="2" t="s">
        <v>451</v>
      </c>
      <c r="D273" s="1" t="s">
        <v>21</v>
      </c>
      <c r="E273" s="1" t="s">
        <v>38</v>
      </c>
      <c r="F273" s="3" t="s">
        <v>452</v>
      </c>
      <c r="G273" s="1" t="s">
        <v>21</v>
      </c>
      <c r="J273" s="1" t="s">
        <v>25</v>
      </c>
      <c r="M273" s="1" t="s">
        <v>61</v>
      </c>
      <c r="N273" s="1" t="s">
        <v>62</v>
      </c>
    </row>
    <row r="274" spans="1:14" ht="12.75">
      <c r="A274" s="1">
        <v>1</v>
      </c>
      <c r="B274" s="1">
        <v>1965</v>
      </c>
      <c r="C274" s="2" t="s">
        <v>453</v>
      </c>
      <c r="D274" s="1" t="s">
        <v>21</v>
      </c>
      <c r="E274" s="1" t="s">
        <v>38</v>
      </c>
      <c r="F274" s="3" t="s">
        <v>454</v>
      </c>
      <c r="G274" s="1" t="s">
        <v>21</v>
      </c>
      <c r="J274" s="1" t="s">
        <v>25</v>
      </c>
      <c r="M274" s="1" t="s">
        <v>61</v>
      </c>
      <c r="N274" s="1" t="s">
        <v>62</v>
      </c>
    </row>
    <row r="326" spans="2:8" ht="12.75">
      <c r="B326" s="1" t="s">
        <v>21</v>
      </c>
      <c r="C326" s="2" t="s">
        <v>455</v>
      </c>
      <c r="D326" s="1" t="s">
        <v>21</v>
      </c>
      <c r="E326" s="1" t="s">
        <v>137</v>
      </c>
      <c r="F326" s="3" t="s">
        <v>456</v>
      </c>
      <c r="G326" s="1" t="s">
        <v>21</v>
      </c>
      <c r="H326" s="1" t="s">
        <v>19</v>
      </c>
    </row>
    <row r="327" spans="2:10" ht="12.75">
      <c r="B327" s="1" t="s">
        <v>21</v>
      </c>
      <c r="C327" s="2" t="s">
        <v>457</v>
      </c>
      <c r="D327" s="1" t="s">
        <v>21</v>
      </c>
      <c r="E327" s="1" t="s">
        <v>38</v>
      </c>
      <c r="F327" s="3" t="s">
        <v>458</v>
      </c>
      <c r="G327" s="1" t="s">
        <v>21</v>
      </c>
      <c r="J327" s="1" t="s">
        <v>25</v>
      </c>
    </row>
    <row r="328" spans="2:10" ht="12.75">
      <c r="B328" s="1" t="s">
        <v>21</v>
      </c>
      <c r="C328" s="2" t="s">
        <v>459</v>
      </c>
      <c r="D328" s="1" t="s">
        <v>21</v>
      </c>
      <c r="E328" s="1" t="s">
        <v>17</v>
      </c>
      <c r="F328" s="3" t="s">
        <v>460</v>
      </c>
      <c r="G328" s="1" t="s">
        <v>21</v>
      </c>
      <c r="J328" s="1" t="s">
        <v>25</v>
      </c>
    </row>
    <row r="329" spans="2:8" ht="12.75">
      <c r="B329" s="1" t="s">
        <v>21</v>
      </c>
      <c r="C329" s="2" t="s">
        <v>461</v>
      </c>
      <c r="D329" s="1" t="s">
        <v>21</v>
      </c>
      <c r="E329" s="1" t="s">
        <v>38</v>
      </c>
      <c r="F329" s="3" t="s">
        <v>462</v>
      </c>
      <c r="G329" s="1" t="s">
        <v>21</v>
      </c>
      <c r="H329" s="1" t="s">
        <v>19</v>
      </c>
    </row>
    <row r="330" spans="2:10" ht="12.75">
      <c r="B330" s="1" t="s">
        <v>21</v>
      </c>
      <c r="C330" s="2" t="s">
        <v>463</v>
      </c>
      <c r="D330" s="1" t="s">
        <v>21</v>
      </c>
      <c r="E330" s="1" t="s">
        <v>17</v>
      </c>
      <c r="F330" s="3" t="s">
        <v>464</v>
      </c>
      <c r="G330" s="1" t="s">
        <v>21</v>
      </c>
      <c r="J330" s="1" t="s">
        <v>25</v>
      </c>
    </row>
  </sheetData>
  <sheetProtection selectLockedCells="1" selectUnlockedCells="1"/>
  <mergeCells count="1">
    <mergeCell ref="H6:L6"/>
  </mergeCells>
  <hyperlinks>
    <hyperlink ref="F7" r:id="rId1" display="Komplexní výukové metody ve fyzice"/>
    <hyperlink ref="G7" r:id="rId2" display="Anotace"/>
    <hyperlink ref="F8" r:id="rId3" display="Vzdělávací modul &quot;Vesmír&quot; pro základní školu"/>
    <hyperlink ref="G8" r:id="rId4" display="Anotace"/>
    <hyperlink ref="F9" r:id="rId5" display="Možnosti využití Newtonových Principií pro výuku"/>
    <hyperlink ref="G9" r:id="rId6" display="Anotace"/>
    <hyperlink ref="G10" r:id="rId7" display="Anotace"/>
    <hyperlink ref="F11" r:id="rId8" display="Objevy a experimenty Nikoly Tesly"/>
    <hyperlink ref="G11" r:id="rId9" display="Anotace"/>
    <hyperlink ref="F12" r:id="rId10" display="Pracovní listy z fyziky pro 1. ročník střední školy"/>
    <hyperlink ref="G12" r:id="rId11" display="Anotace"/>
    <hyperlink ref="F14" r:id="rId12" display="Interaktivní procvičování učiva fyziky pro 6. ročník ZŠ"/>
    <hyperlink ref="G14" r:id="rId13" display="Anotace"/>
    <hyperlink ref="F26" r:id="rId14" display="Vizualizace fyzikálních jevů ve výuce na ZŠ"/>
    <hyperlink ref="G26" r:id="rId15" display="Anotace"/>
    <hyperlink ref="F30" r:id="rId16" display="Fyzikální náměty vycházející ze SCIFI"/>
    <hyperlink ref="F32" r:id="rId17" display="Analýza učebnic chemie pro základní školy"/>
    <hyperlink ref="F35" r:id="rId18" display="Měření na lidském těle"/>
    <hyperlink ref="F36" r:id="rId19" display="Hodnotenie zrozumiteľnosti textu učebnice"/>
    <hyperlink ref="F37" r:id="rId20" display="Motivační fyzikální pokusy vytvořené s ohledem na jejich snadnou proveditelnost a využitelnost odpadu"/>
    <hyperlink ref="F86" r:id="rId21" display="Modelování fyzikálních jevů ve sportu"/>
    <hyperlink ref="F87" r:id="rId22" display="Energetika ve výuce na základní škole"/>
    <hyperlink ref="F113" r:id="rId23" display="Fyzika a biomechanika gymnastiky"/>
    <hyperlink ref="F137" r:id="rId24" display="Hmotnost - jednotky a metody měření"/>
    <hyperlink ref="F144" r:id="rId25" display="Vliv vybraných druhů výroby elektřiny na životní prostředí"/>
    <hyperlink ref="F151" r:id="rId26" display="Možnosti využití Tabulkového procesoru v přírodovědné výuce"/>
    <hyperlink ref="F156" r:id="rId27" display="Měření na základních polovodičových součástkách"/>
    <hyperlink ref="F157" r:id="rId28" display="Soutěž jako motivační prvek v přírodovědné výuce na 1. stupni ZŠ"/>
    <hyperlink ref="F158" r:id="rId29" display="Pedagogické hodnocení, jeho možnosti a omezení v nových podmínkách"/>
  </hyperlinks>
  <printOptions/>
  <pageMargins left="0.7" right="0.7" top="0.7875" bottom="0.7875" header="0.5118055555555555" footer="0.5118055555555555"/>
  <pageSetup cellComments="atEn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Miléř</cp:lastModifiedBy>
  <dcterms:modified xsi:type="dcterms:W3CDTF">2019-06-04T12:17:32Z</dcterms:modified>
  <cp:category/>
  <cp:version/>
  <cp:contentType/>
  <cp:contentStatus/>
  <cp:revision>5</cp:revision>
</cp:coreProperties>
</file>